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ver" sheetId="1" r:id="rId4"/>
    <sheet state="visible" name="Assumptions" sheetId="2" r:id="rId5"/>
    <sheet state="visible" name="Proforma Summary" sheetId="3" r:id="rId6"/>
    <sheet state="visible" name="Waterfall" sheetId="4" r:id="rId7"/>
    <sheet state="visible" name="Returns" sheetId="5" r:id="rId8"/>
    <sheet state="visible" name="305 e. Daniel" sheetId="6" r:id="rId9"/>
    <sheet state="visible" name="75 e. Armory" sheetId="7" r:id="rId10"/>
    <sheet state="visible" name="507 s. Second" sheetId="8" r:id="rId11"/>
    <sheet state="visible" name="901 w. Western" sheetId="9" r:id="rId12"/>
    <sheet state="visible" name="Tranche 4P" sheetId="10" r:id="rId13"/>
  </sheets>
  <definedNames>
    <definedName localSheetId="1" name="solver_cvg">0.0001</definedName>
    <definedName localSheetId="1" name="solver_drv">1</definedName>
    <definedName localSheetId="1" name="solver_eng">1</definedName>
    <definedName localSheetId="1" name="solver_est">1</definedName>
    <definedName localSheetId="1" name="solver_itr">2147483647</definedName>
    <definedName localSheetId="1" name="solver_mip">2147483647</definedName>
    <definedName localSheetId="1" name="solver_mni">30</definedName>
    <definedName localSheetId="1" name="solver_mrt">0.075</definedName>
    <definedName localSheetId="1" name="solver_msl">2</definedName>
    <definedName localSheetId="1" name="solver_neg">1</definedName>
    <definedName localSheetId="1" name="solver_nod">2147483647</definedName>
    <definedName localSheetId="1" name="solver_num">0</definedName>
    <definedName localSheetId="1" name="solver_nwt">1</definedName>
    <definedName localSheetId="1" name="solver_pre">0.000001</definedName>
    <definedName localSheetId="1" name="solver_rbv">1</definedName>
    <definedName localSheetId="1" name="solver_rlx">2</definedName>
    <definedName localSheetId="1" name="solver_rsd">0</definedName>
    <definedName localSheetId="1" name="solver_scl">1</definedName>
    <definedName localSheetId="1" name="solver_sho">2</definedName>
    <definedName localSheetId="1" name="solver_ssz">100</definedName>
    <definedName localSheetId="1" name="solver_tim">2147483647</definedName>
    <definedName localSheetId="1" name="solver_tol">0.01</definedName>
    <definedName localSheetId="1" name="solver_typ">3</definedName>
    <definedName localSheetId="1" name="solver_val">0.15</definedName>
    <definedName localSheetId="1" name="solver_ver">3</definedName>
    <definedName localSheetId="1" name="solver_opt">Assumptions!$E$142</definedName>
    <definedName localSheetId="1" name="solver_adj">Assumptions!$D$54</definedName>
  </definedNames>
  <calcPr/>
  <extLst>
    <ext uri="GoogleSheetsCustomDataVersion2">
      <go:sheetsCustomData xmlns:go="http://customooxmlschemas.google.com/" r:id="rId14" roundtripDataChecksum="ksowULKgwABWCyTnGtrwqI+UR00pNEnWPxAhQ87Djkg="/>
    </ext>
  </extLst>
</workbook>
</file>

<file path=xl/sharedStrings.xml><?xml version="1.0" encoding="utf-8"?>
<sst xmlns="http://schemas.openxmlformats.org/spreadsheetml/2006/main" count="845" uniqueCount="203">
  <si>
    <t>Project Information</t>
  </si>
  <si>
    <t>Version Control</t>
  </si>
  <si>
    <t>Project Name:</t>
  </si>
  <si>
    <t>UofI Student Tranche 4P</t>
  </si>
  <si>
    <t>Model Version:</t>
  </si>
  <si>
    <t>Property Address:</t>
  </si>
  <si>
    <t xml:space="preserve">305 e Daniel St, Champaign, IL </t>
  </si>
  <si>
    <t>Notes:</t>
  </si>
  <si>
    <t>75 e Armory Ave, Champaign, IL </t>
  </si>
  <si>
    <t xml:space="preserve">1)Year 2 NOI reflects the implementation of the utility buyback program, which is not yet active.
</t>
  </si>
  <si>
    <t>507 s second, Champaign, IL</t>
  </si>
  <si>
    <t>2)The going-in cap rate is calculated based on the proposed purchase price.</t>
  </si>
  <si>
    <t>901 W Western Ave, Urbana, IL</t>
  </si>
  <si>
    <t>3)Debt terms are quoted by Freddie Mac at 5.68% fixed, 70% LTV, with 3 years interest-only.</t>
  </si>
  <si>
    <t>Property Type:</t>
  </si>
  <si>
    <t>Student Housing</t>
  </si>
  <si>
    <t>4)Underwritten at a 5% vacancy rate, compared to the current portfolio average of 2%.</t>
  </si>
  <si>
    <t>Market/Submarket:</t>
  </si>
  <si>
    <t>Urbana Champaign</t>
  </si>
  <si>
    <t>5) The exit cap assumption reflects a conservative approach, given current market rates are around 5.5% by major brokers</t>
  </si>
  <si>
    <t>Model As Of Date:</t>
  </si>
  <si>
    <t>Underwriting Summary / Key Metrics Snapshot</t>
  </si>
  <si>
    <t>Acquisition Price / Total Project Cost:</t>
  </si>
  <si>
    <t>Equity Requirement:</t>
  </si>
  <si>
    <t>Underwritten Entry Cap Rate:</t>
  </si>
  <si>
    <t>Underwritten Exit Entry Cap Rate:</t>
  </si>
  <si>
    <t>Stabilized NOI:</t>
  </si>
  <si>
    <t>Target IRR:</t>
  </si>
  <si>
    <t>Target Equity Multiple:</t>
  </si>
  <si>
    <t>Hold Period Assumption:</t>
  </si>
  <si>
    <t>Disclaimer / Confidentiality Notice</t>
  </si>
  <si>
    <t>[Confidential - For Internal Use Only. This model is intended solely for investment analysis purposes and should not be distributed externally without permission.]</t>
  </si>
  <si>
    <t>Garden-Style Apartments</t>
  </si>
  <si>
    <t>Mid-Rise Apartments</t>
  </si>
  <si>
    <t>High-Rise Apartments</t>
  </si>
  <si>
    <t>Walk-Up Apartments</t>
  </si>
  <si>
    <t>Senior Housing</t>
  </si>
  <si>
    <t>Affordable/Subsidized Housing</t>
  </si>
  <si>
    <t>Mixed-Use Multifamily</t>
  </si>
  <si>
    <t>305 e. DANIEL</t>
  </si>
  <si>
    <t>75 e. ARMORY</t>
  </si>
  <si>
    <t>507 s. SECOND</t>
  </si>
  <si>
    <t>901 w. WESTERN</t>
  </si>
  <si>
    <t>Operation</t>
  </si>
  <si>
    <t>AY 24-25</t>
  </si>
  <si>
    <t>AY 25-26</t>
  </si>
  <si>
    <t>Unit Type (Bed/Bath)</t>
  </si>
  <si>
    <t>Unit Count</t>
  </si>
  <si>
    <t>Bed Count</t>
  </si>
  <si>
    <t>$ / Bed</t>
  </si>
  <si>
    <t>Annual Rev.</t>
  </si>
  <si>
    <t>2x2</t>
  </si>
  <si>
    <t>1x1</t>
  </si>
  <si>
    <t>3x3</t>
  </si>
  <si>
    <t>3x2</t>
  </si>
  <si>
    <t>2x1</t>
  </si>
  <si>
    <t>4x3</t>
  </si>
  <si>
    <t>4x2</t>
  </si>
  <si>
    <t>4x4</t>
  </si>
  <si>
    <t>Total / Avg.</t>
  </si>
  <si>
    <t>Vacancy</t>
  </si>
  <si>
    <t xml:space="preserve">Bad Debt </t>
  </si>
  <si>
    <t>Concession</t>
  </si>
  <si>
    <t>Effective Gross Income</t>
  </si>
  <si>
    <t>Other Income (Parking)</t>
  </si>
  <si>
    <t>Other Income</t>
  </si>
  <si>
    <t>Utility Reimburshment (w/o Electricity)</t>
  </si>
  <si>
    <t>Utility Buyback Premium</t>
  </si>
  <si>
    <t>Total Operating Income</t>
  </si>
  <si>
    <t>Operating Expenses</t>
  </si>
  <si>
    <t>General &amp; Admin</t>
  </si>
  <si>
    <t>Payroll</t>
  </si>
  <si>
    <t>Electricity</t>
  </si>
  <si>
    <t>Other Utilities</t>
  </si>
  <si>
    <t>Marketing</t>
  </si>
  <si>
    <t>Management Fee</t>
  </si>
  <si>
    <t>Contract Services</t>
  </si>
  <si>
    <t>Repair &amp; Maintenance</t>
  </si>
  <si>
    <t>Turnaround Expense</t>
  </si>
  <si>
    <t>Tax</t>
  </si>
  <si>
    <t>Insurance</t>
  </si>
  <si>
    <t>HQ Expense</t>
  </si>
  <si>
    <t>Total Operating Expenses</t>
  </si>
  <si>
    <t>Net Operating Income</t>
  </si>
  <si>
    <t>Sources &amp; Uses</t>
  </si>
  <si>
    <t>Financing</t>
  </si>
  <si>
    <t>Sources</t>
  </si>
  <si>
    <t>Loan Amount</t>
  </si>
  <si>
    <t>Equity</t>
  </si>
  <si>
    <t>LTV</t>
  </si>
  <si>
    <t>GP</t>
  </si>
  <si>
    <t>Interest Rate</t>
  </si>
  <si>
    <t>GP-1</t>
  </si>
  <si>
    <t>Amortization</t>
  </si>
  <si>
    <t>GP-2</t>
  </si>
  <si>
    <t>Term</t>
  </si>
  <si>
    <t>IO Period</t>
  </si>
  <si>
    <t>LP</t>
  </si>
  <si>
    <t>Financing Costs</t>
  </si>
  <si>
    <t>Debt</t>
  </si>
  <si>
    <t>Loan Sizing</t>
  </si>
  <si>
    <t>Permanent Loan</t>
  </si>
  <si>
    <t>LTV Test</t>
  </si>
  <si>
    <t>Uses</t>
  </si>
  <si>
    <t>LTV - For Loan Sizing</t>
  </si>
  <si>
    <t>Purchase Price</t>
  </si>
  <si>
    <t>Forward 12-month NOI</t>
  </si>
  <si>
    <t>Legal</t>
  </si>
  <si>
    <t>Cap Rate</t>
  </si>
  <si>
    <t xml:space="preserve">Asset Value for Debt Financing </t>
  </si>
  <si>
    <t>Acquisition Fee</t>
  </si>
  <si>
    <t>Surplus / (Deficit)</t>
  </si>
  <si>
    <t>DSCR Test</t>
  </si>
  <si>
    <t>Valuation</t>
  </si>
  <si>
    <t>DSCR</t>
  </si>
  <si>
    <t>Implied Going-in Cap Rate</t>
  </si>
  <si>
    <t>Acquisition Cost</t>
  </si>
  <si>
    <t>Max Debt Service</t>
  </si>
  <si>
    <t>Spread</t>
  </si>
  <si>
    <t>Exit Cap Rate</t>
  </si>
  <si>
    <t>Sales Expenses</t>
  </si>
  <si>
    <t>Debt Yield Test</t>
  </si>
  <si>
    <t>Discount Rate</t>
  </si>
  <si>
    <t>Exit Vacancy</t>
  </si>
  <si>
    <t>Debt Yield</t>
  </si>
  <si>
    <t>Investment Horizon</t>
  </si>
  <si>
    <t>JV Structure</t>
  </si>
  <si>
    <t>IRR</t>
  </si>
  <si>
    <t>GP - 1</t>
  </si>
  <si>
    <t>GP - 2</t>
  </si>
  <si>
    <t>Pre-hurdle</t>
  </si>
  <si>
    <t>1st hurdle</t>
  </si>
  <si>
    <t>2nd hurdle</t>
  </si>
  <si>
    <t>Thereafter</t>
  </si>
  <si>
    <t>Capital Stack</t>
  </si>
  <si>
    <t>Vacany &amp; Escalation Assumptions</t>
  </si>
  <si>
    <t>Year</t>
  </si>
  <si>
    <t>Other Income escalation</t>
  </si>
  <si>
    <t>Rent Escalation</t>
  </si>
  <si>
    <t>Expense Escalation</t>
  </si>
  <si>
    <t xml:space="preserve">  </t>
  </si>
  <si>
    <t>Capital Improvements</t>
  </si>
  <si>
    <t>Capex per Bed</t>
  </si>
  <si>
    <t>Rehab Starts in</t>
  </si>
  <si>
    <t>Number of months down</t>
  </si>
  <si>
    <t>Occuany during Rehab</t>
  </si>
  <si>
    <t>Total Capex</t>
  </si>
  <si>
    <t xml:space="preserve">Source </t>
  </si>
  <si>
    <t>GP-2 Reserves</t>
  </si>
  <si>
    <t>Operating Expenses %</t>
  </si>
  <si>
    <t>Debt Service</t>
  </si>
  <si>
    <t>Net Sales Proceeds</t>
  </si>
  <si>
    <t>Operating Cash Flows</t>
  </si>
  <si>
    <t>Reversion Cash Flows</t>
  </si>
  <si>
    <t>Total Cash Flows</t>
  </si>
  <si>
    <t>Cash-on-Cash</t>
  </si>
  <si>
    <t>Minimum</t>
  </si>
  <si>
    <t>Contribution</t>
  </si>
  <si>
    <t>Investor</t>
  </si>
  <si>
    <t>Distribution</t>
  </si>
  <si>
    <t>Operating Cash Flows Available for Distribution</t>
  </si>
  <si>
    <t>Capital Event Cash Flows Available for Distribution</t>
  </si>
  <si>
    <t>Total Distribution</t>
  </si>
  <si>
    <t>GP - 1 Cashflow</t>
  </si>
  <si>
    <t>Split %</t>
  </si>
  <si>
    <t>Total Cash Flows to GP - 1</t>
  </si>
  <si>
    <t>GP - 2 Cashflow</t>
  </si>
  <si>
    <t>Total Cash Flows to GP - 2</t>
  </si>
  <si>
    <t>Investor Cash Flows</t>
  </si>
  <si>
    <t>Total Cash Flows to LP</t>
  </si>
  <si>
    <t>Funding</t>
  </si>
  <si>
    <t>Beginning Balance</t>
  </si>
  <si>
    <t>Interest</t>
  </si>
  <si>
    <t>Repayment</t>
  </si>
  <si>
    <t>Ending Balance</t>
  </si>
  <si>
    <t>Cash Flows</t>
  </si>
  <si>
    <t>Equity Multiple</t>
  </si>
  <si>
    <t>GP -1</t>
  </si>
  <si>
    <t>GP -2</t>
  </si>
  <si>
    <t>Project</t>
  </si>
  <si>
    <t>Return Summary</t>
  </si>
  <si>
    <t>PV of Operating Cash flows</t>
  </si>
  <si>
    <t>PV of Reversion Cash flows</t>
  </si>
  <si>
    <t>Total</t>
  </si>
  <si>
    <t>CF 0</t>
  </si>
  <si>
    <t>NPV</t>
  </si>
  <si>
    <t>Capital Stack Summary</t>
  </si>
  <si>
    <t>SENSITIVITY ANALYSIS</t>
  </si>
  <si>
    <t>Building</t>
  </si>
  <si>
    <t>TOTAL</t>
  </si>
  <si>
    <t>CAP/TERM</t>
  </si>
  <si>
    <t>Portfolio Level Waterfall</t>
  </si>
  <si>
    <t>Period</t>
  </si>
  <si>
    <t>Revenue</t>
  </si>
  <si>
    <t>Total Revenue</t>
  </si>
  <si>
    <t>Capital Expenditure</t>
  </si>
  <si>
    <t>Principal</t>
  </si>
  <si>
    <t>Payment</t>
  </si>
  <si>
    <t>Sales Proceeds</t>
  </si>
  <si>
    <t>Sales Price</t>
  </si>
  <si>
    <t>Loan Repayment</t>
  </si>
  <si>
    <t>Yearly Cash Flow</t>
  </si>
  <si>
    <t>`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</si>
</sst>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3">
    <numFmt numFmtId="164" formatCode="&quot;$&quot;#,##0_);[Red]\(&quot;$&quot;#,##0\)"/>
    <numFmt numFmtId="165" formatCode="#,##0.00&quot;x&quot;"/>
    <numFmt numFmtId="166" formatCode="_(* #,##0_);_(* \(#,##0\);_(* &quot;-&quot;??_);_(@_)"/>
    <numFmt numFmtId="167" formatCode="_(* #,##0.00_);_(* \(#,##0.00\);_(* &quot;-&quot;??_);_(@_)"/>
    <numFmt numFmtId="168" formatCode="_([$$-409]* #,##0_);_([$$-409]* \(#,##0\);_([$$-409]* &quot;-&quot;??_);_(@_)"/>
    <numFmt numFmtId="169" formatCode="_([$$-409]* #,##0.00_);_([$$-409]* \(#,##0.00\);_([$$-409]* &quot;-&quot;??_);_(@_)"/>
    <numFmt numFmtId="170" formatCode="_(&quot;$&quot;* #,##0.00_);_(&quot;$&quot;* \(#,##0.00\);_(&quot;$&quot;* &quot;-&quot;??_);_(@_)"/>
    <numFmt numFmtId="171" formatCode="&quot;Starts Year&quot;\ 0#"/>
    <numFmt numFmtId="172" formatCode="0#\ &quot;Months&quot;"/>
    <numFmt numFmtId="173" formatCode="#\ &quot;Months&quot;"/>
    <numFmt numFmtId="174" formatCode="&quot;$&quot;#,##0"/>
    <numFmt numFmtId="175" formatCode="_(&quot;$&quot;* #,##0_);_(&quot;$&quot;* \(#,##0\);_(&quot;$&quot;* &quot;-&quot;??_);_(@_)"/>
    <numFmt numFmtId="176" formatCode="0.0%"/>
  </numFmts>
  <fonts count="30">
    <font>
      <sz val="11.0"/>
      <color theme="1"/>
      <name val="Calibri"/>
      <scheme val="minor"/>
    </font>
    <font>
      <sz val="11.0"/>
      <color theme="1"/>
      <name val="Avenir"/>
    </font>
    <font>
      <sz val="14.0"/>
      <color theme="0"/>
      <name val="Avenir"/>
    </font>
    <font>
      <sz val="11.0"/>
      <color theme="0"/>
      <name val="Avenir"/>
    </font>
    <font>
      <sz val="14.0"/>
      <color theme="1"/>
      <name val="Avenir"/>
    </font>
    <font>
      <sz val="9.0"/>
      <color theme="1"/>
      <name val="Avenir"/>
    </font>
    <font/>
    <font>
      <b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b/>
      <sz val="11.0"/>
      <color theme="0"/>
      <name val="Avenir"/>
    </font>
    <font>
      <b/>
      <sz val="14.0"/>
      <color theme="0"/>
      <name val="Avenir"/>
    </font>
    <font>
      <sz val="11.0"/>
      <color theme="8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sz val="12.0"/>
      <color theme="0"/>
      <name val="Avenir"/>
    </font>
    <font>
      <u/>
      <sz val="11.0"/>
      <color theme="1"/>
      <name val="Avenir"/>
    </font>
    <font>
      <u/>
      <sz val="11.0"/>
      <color theme="1"/>
      <name val="Avenir"/>
    </font>
  </fonts>
  <fills count="6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</fills>
  <borders count="100">
    <border/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right style="medium">
        <color rgb="FF000000"/>
      </right>
      <top style="thin">
        <color rgb="FF000000"/>
      </top>
      <bottom style="double">
        <color rgb="FF000000"/>
      </bottom>
    </border>
    <border>
      <left style="medium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 style="medium">
        <color theme="1"/>
      </left>
      <right/>
      <top style="medium">
        <color theme="1"/>
      </top>
      <bottom/>
    </border>
    <border>
      <left/>
      <right style="medium">
        <color theme="1"/>
      </right>
      <top style="medium">
        <color theme="1"/>
      </top>
      <bottom/>
    </border>
    <border>
      <left style="medium">
        <color theme="1"/>
      </left>
      <right/>
      <top/>
      <bottom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</border>
    <border>
      <left/>
      <right style="medium">
        <color theme="1"/>
      </right>
      <top/>
      <bottom/>
    </border>
    <border>
      <left style="medium">
        <color theme="1"/>
      </left>
      <right/>
      <top/>
      <bottom style="medium">
        <color theme="1"/>
      </bottom>
    </border>
    <border>
      <left/>
      <right style="medium">
        <color theme="1"/>
      </right>
      <top/>
      <bottom style="medium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 style="medium">
        <color theme="1"/>
      </top>
      <bottom/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top style="thin">
        <color rgb="FF000000"/>
      </top>
      <bottom style="thin">
        <color rgb="FF000000"/>
      </bottom>
    </border>
    <border>
      <right style="medium">
        <color theme="1"/>
      </right>
      <top style="thin">
        <color rgb="FF000000"/>
      </top>
      <bottom style="thin">
        <color rgb="FF000000"/>
      </bottom>
    </border>
    <border>
      <left style="medium">
        <color theme="1"/>
      </left>
      <top style="thin">
        <color rgb="FF000000"/>
      </top>
    </border>
    <border>
      <right style="medium">
        <color theme="1"/>
      </right>
      <top style="thin">
        <color rgb="FF000000"/>
      </top>
    </border>
    <border>
      <right style="medium">
        <color theme="1"/>
      </right>
      <bottom style="thin">
        <color rgb="FF000000"/>
      </bottom>
    </border>
    <border>
      <left style="medium">
        <color theme="1"/>
      </left>
      <top style="thin">
        <color rgb="FF000000"/>
      </top>
      <bottom style="medium">
        <color theme="1"/>
      </bottom>
    </border>
    <border>
      <top style="thin">
        <color rgb="FF000000"/>
      </top>
      <bottom style="medium">
        <color theme="1"/>
      </bottom>
    </border>
    <border>
      <right style="medium">
        <color theme="1"/>
      </right>
      <top style="thin">
        <color rgb="FF000000"/>
      </top>
      <bottom style="medium">
        <color theme="1"/>
      </bottom>
    </border>
    <border>
      <bottom style="medium">
        <color theme="1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2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Border="1" applyFill="1" applyFont="1"/>
    <xf borderId="2" fillId="2" fontId="3" numFmtId="0" xfId="0" applyBorder="1" applyFont="1"/>
    <xf borderId="3" fillId="2" fontId="3" numFmtId="0" xfId="0" applyBorder="1" applyFont="1"/>
    <xf borderId="4" fillId="0" fontId="1" numFmtId="0" xfId="0" applyBorder="1" applyFont="1"/>
    <xf borderId="5" fillId="0" fontId="1" numFmtId="0" xfId="0" applyBorder="1" applyFont="1"/>
    <xf borderId="6" fillId="3" fontId="1" numFmtId="0" xfId="0" applyBorder="1" applyFill="1" applyFont="1"/>
    <xf borderId="7" fillId="4" fontId="1" numFmtId="0" xfId="0" applyBorder="1" applyFill="1" applyFont="1"/>
    <xf borderId="8" fillId="0" fontId="1" numFmtId="0" xfId="0" applyBorder="1" applyFont="1"/>
    <xf borderId="9" fillId="0" fontId="1" numFmtId="0" xfId="0" applyBorder="1" applyFont="1"/>
    <xf borderId="0" fillId="0" fontId="4" numFmtId="0" xfId="0" applyFont="1"/>
    <xf borderId="8" fillId="0" fontId="1" numFmtId="0" xfId="0" applyAlignment="1" applyBorder="1" applyFont="1">
      <alignment horizontal="left" vertical="top"/>
    </xf>
    <xf borderId="0" fillId="0" fontId="1" numFmtId="0" xfId="0" applyAlignment="1" applyFont="1">
      <alignment shrinkToFit="0" vertical="center" wrapText="1"/>
    </xf>
    <xf borderId="0" fillId="0" fontId="5" numFmtId="0" xfId="0" applyAlignment="1" applyFont="1">
      <alignment shrinkToFit="0" vertical="top" wrapText="1"/>
    </xf>
    <xf borderId="8" fillId="0" fontId="6" numFmtId="0" xfId="0" applyBorder="1" applyFont="1"/>
    <xf borderId="8" fillId="0" fontId="1" numFmtId="0" xfId="0" applyAlignment="1" applyBorder="1" applyFont="1">
      <alignment horizontal="left" shrinkToFit="0" vertical="top" wrapText="1"/>
    </xf>
    <xf borderId="9" fillId="0" fontId="6" numFmtId="0" xfId="0" applyBorder="1" applyFont="1"/>
    <xf borderId="8" fillId="0" fontId="1" numFmtId="0" xfId="0" applyAlignment="1" applyBorder="1" applyFont="1">
      <alignment vertical="top"/>
    </xf>
    <xf borderId="0" fillId="0" fontId="1" numFmtId="0" xfId="0" applyAlignment="1" applyFont="1">
      <alignment vertical="top"/>
    </xf>
    <xf borderId="9" fillId="0" fontId="1" numFmtId="0" xfId="0" applyAlignment="1" applyBorder="1" applyFont="1">
      <alignment vertical="top"/>
    </xf>
    <xf borderId="8" fillId="0" fontId="1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9" fillId="0" fontId="1" numFmtId="0" xfId="0" applyAlignment="1" applyBorder="1" applyFont="1">
      <alignment vertical="center"/>
    </xf>
    <xf borderId="6" fillId="4" fontId="1" numFmtId="0" xfId="0" applyBorder="1" applyFont="1"/>
    <xf borderId="10" fillId="0" fontId="1" numFmtId="0" xfId="0" applyBorder="1" applyFont="1"/>
    <xf borderId="11" fillId="0" fontId="1" numFmtId="0" xfId="0" applyBorder="1" applyFont="1"/>
    <xf borderId="6" fillId="3" fontId="1" numFmtId="14" xfId="0" applyBorder="1" applyFont="1" applyNumberFormat="1"/>
    <xf borderId="7" fillId="4" fontId="1" numFmtId="14" xfId="0" applyBorder="1" applyFont="1" applyNumberFormat="1"/>
    <xf borderId="8" fillId="0" fontId="1" numFmtId="0" xfId="0" applyAlignment="1" applyBorder="1" applyFont="1">
      <alignment horizontal="left"/>
    </xf>
    <xf borderId="6" fillId="5" fontId="7" numFmtId="164" xfId="0" applyAlignment="1" applyBorder="1" applyFill="1" applyFont="1" applyNumberFormat="1">
      <alignment horizontal="left"/>
    </xf>
    <xf borderId="6" fillId="5" fontId="7" numFmtId="10" xfId="0" applyAlignment="1" applyBorder="1" applyFont="1" applyNumberFormat="1">
      <alignment horizontal="left"/>
    </xf>
    <xf borderId="0" fillId="0" fontId="1" numFmtId="10" xfId="0" applyFont="1" applyNumberFormat="1"/>
    <xf borderId="6" fillId="5" fontId="7" numFmtId="165" xfId="0" applyAlignment="1" applyBorder="1" applyFont="1" applyNumberFormat="1">
      <alignment horizontal="left"/>
    </xf>
    <xf borderId="12" fillId="0" fontId="1" numFmtId="0" xfId="0" applyBorder="1" applyFont="1"/>
    <xf borderId="10" fillId="0" fontId="1" numFmtId="0" xfId="0" applyAlignment="1" applyBorder="1" applyFont="1">
      <alignment horizontal="left"/>
    </xf>
    <xf borderId="11" fillId="0" fontId="6" numFmtId="0" xfId="0" applyBorder="1" applyFont="1"/>
    <xf borderId="6" fillId="5" fontId="7" numFmtId="166" xfId="0" applyAlignment="1" applyBorder="1" applyFont="1" applyNumberFormat="1">
      <alignment horizontal="left"/>
    </xf>
    <xf borderId="0" fillId="0" fontId="4" numFmtId="0" xfId="0" applyAlignment="1" applyFont="1">
      <alignment horizontal="left" shrinkToFit="0" vertical="center" wrapText="1"/>
    </xf>
    <xf borderId="0" fillId="0" fontId="8" numFmtId="0" xfId="0" applyFont="1"/>
    <xf borderId="0" fillId="0" fontId="9" numFmtId="0" xfId="0" applyFont="1"/>
    <xf borderId="7" fillId="3" fontId="1" numFmtId="0" xfId="0" applyBorder="1" applyFont="1"/>
    <xf borderId="13" fillId="2" fontId="2" numFmtId="0" xfId="0" applyBorder="1" applyFont="1"/>
    <xf borderId="14" fillId="2" fontId="10" numFmtId="0" xfId="0" applyBorder="1" applyFont="1"/>
    <xf borderId="15" fillId="2" fontId="10" numFmtId="0" xfId="0" applyBorder="1" applyFont="1"/>
    <xf borderId="14" fillId="2" fontId="11" numFmtId="0" xfId="0" applyBorder="1" applyFont="1"/>
    <xf borderId="16" fillId="0" fontId="7" numFmtId="0" xfId="0" applyBorder="1" applyFont="1"/>
    <xf borderId="17" fillId="0" fontId="7" numFmtId="0" xfId="0" applyBorder="1" applyFont="1"/>
    <xf borderId="18" fillId="0" fontId="7" numFmtId="0" xfId="0" applyAlignment="1" applyBorder="1" applyFont="1">
      <alignment horizontal="center"/>
    </xf>
    <xf borderId="19" fillId="0" fontId="7" numFmtId="0" xfId="0" applyAlignment="1" applyBorder="1" applyFont="1">
      <alignment horizontal="center"/>
    </xf>
    <xf borderId="20" fillId="0" fontId="1" numFmtId="0" xfId="0" applyBorder="1" applyFont="1"/>
    <xf borderId="0" fillId="0" fontId="1" numFmtId="167" xfId="0" applyAlignment="1" applyFont="1" applyNumberFormat="1">
      <alignment horizontal="right"/>
    </xf>
    <xf borderId="9" fillId="0" fontId="1" numFmtId="167" xfId="0" applyAlignment="1" applyBorder="1" applyFont="1" applyNumberFormat="1">
      <alignment horizontal="right"/>
    </xf>
    <xf borderId="21" fillId="0" fontId="1" numFmtId="167" xfId="0" applyAlignment="1" applyBorder="1" applyFont="1" applyNumberFormat="1">
      <alignment horizontal="right"/>
    </xf>
    <xf borderId="0" fillId="0" fontId="1" numFmtId="166" xfId="0" applyFont="1" applyNumberFormat="1"/>
    <xf borderId="9" fillId="0" fontId="1" numFmtId="168" xfId="0" applyBorder="1" applyFont="1" applyNumberFormat="1"/>
    <xf borderId="21" fillId="0" fontId="1" numFmtId="168" xfId="0" applyBorder="1" applyFont="1" applyNumberFormat="1"/>
    <xf borderId="7" fillId="3" fontId="1" numFmtId="169" xfId="0" applyBorder="1" applyFont="1" applyNumberFormat="1"/>
    <xf borderId="0" fillId="0" fontId="12" numFmtId="9" xfId="0" applyFont="1" applyNumberFormat="1"/>
    <xf borderId="0" fillId="0" fontId="1" numFmtId="9" xfId="0" applyFont="1" applyNumberFormat="1"/>
    <xf borderId="0" fillId="0" fontId="12" numFmtId="10" xfId="0" applyFont="1" applyNumberFormat="1"/>
    <xf borderId="0" fillId="0" fontId="12" numFmtId="166" xfId="0" applyFont="1" applyNumberFormat="1"/>
    <xf borderId="22" fillId="0" fontId="7" numFmtId="0" xfId="0" applyBorder="1" applyFont="1"/>
    <xf borderId="5" fillId="0" fontId="7" numFmtId="0" xfId="0" applyBorder="1" applyFont="1"/>
    <xf borderId="5" fillId="0" fontId="7" numFmtId="166" xfId="0" applyBorder="1" applyFont="1" applyNumberFormat="1"/>
    <xf borderId="5" fillId="0" fontId="7" numFmtId="170" xfId="0" applyBorder="1" applyFont="1" applyNumberFormat="1"/>
    <xf borderId="23" fillId="0" fontId="7" numFmtId="168" xfId="0" applyBorder="1" applyFont="1" applyNumberFormat="1"/>
    <xf borderId="24" fillId="0" fontId="7" numFmtId="168" xfId="0" applyBorder="1" applyFont="1" applyNumberFormat="1"/>
    <xf borderId="0" fillId="0" fontId="1" numFmtId="0" xfId="0" applyAlignment="1" applyFont="1">
      <alignment horizontal="right"/>
    </xf>
    <xf borderId="20" fillId="0" fontId="7" numFmtId="0" xfId="0" applyBorder="1" applyFont="1"/>
    <xf borderId="0" fillId="0" fontId="7" numFmtId="0" xfId="0" applyFont="1"/>
    <xf borderId="9" fillId="0" fontId="7" numFmtId="168" xfId="0" applyBorder="1" applyFont="1" applyNumberFormat="1"/>
    <xf borderId="21" fillId="0" fontId="7" numFmtId="168" xfId="0" applyBorder="1" applyFont="1" applyNumberFormat="1"/>
    <xf borderId="0" fillId="0" fontId="1" numFmtId="171" xfId="0" applyFont="1" applyNumberFormat="1"/>
    <xf borderId="18" fillId="0" fontId="7" numFmtId="168" xfId="0" applyBorder="1" applyFont="1" applyNumberFormat="1"/>
    <xf borderId="19" fillId="0" fontId="7" numFmtId="168" xfId="0" applyBorder="1" applyFont="1" applyNumberFormat="1"/>
    <xf borderId="20" fillId="0" fontId="13" numFmtId="0" xfId="0" applyBorder="1" applyFont="1"/>
    <xf borderId="9" fillId="0" fontId="1" numFmtId="9" xfId="0" applyBorder="1" applyFont="1" applyNumberFormat="1"/>
    <xf borderId="25" fillId="0" fontId="7" numFmtId="0" xfId="0" applyBorder="1" applyFont="1"/>
    <xf borderId="26" fillId="0" fontId="7" numFmtId="0" xfId="0" applyBorder="1" applyFont="1"/>
    <xf borderId="27" fillId="0" fontId="7" numFmtId="168" xfId="0" applyBorder="1" applyFont="1" applyNumberFormat="1"/>
    <xf borderId="28" fillId="0" fontId="7" numFmtId="168" xfId="0" applyBorder="1" applyFont="1" applyNumberFormat="1"/>
    <xf borderId="21" fillId="0" fontId="1" numFmtId="0" xfId="0" applyBorder="1" applyFont="1"/>
    <xf borderId="29" fillId="2" fontId="2" numFmtId="0" xfId="0" applyBorder="1" applyFont="1"/>
    <xf borderId="7" fillId="2" fontId="10" numFmtId="0" xfId="0" applyBorder="1" applyFont="1"/>
    <xf borderId="7" fillId="2" fontId="7" numFmtId="0" xfId="0" applyBorder="1" applyFont="1"/>
    <xf borderId="30" fillId="2" fontId="4" numFmtId="0" xfId="0" applyBorder="1" applyFont="1"/>
    <xf borderId="31" fillId="2" fontId="7" numFmtId="0" xfId="0" applyBorder="1" applyFont="1"/>
    <xf borderId="32" fillId="2" fontId="7" numFmtId="0" xfId="0" applyBorder="1" applyFont="1"/>
    <xf borderId="30" fillId="2" fontId="2" numFmtId="0" xfId="0" applyBorder="1" applyFont="1"/>
    <xf borderId="31" fillId="2" fontId="10" numFmtId="0" xfId="0" applyBorder="1" applyFont="1"/>
    <xf borderId="32" fillId="2" fontId="10" numFmtId="0" xfId="0" applyBorder="1" applyFont="1"/>
    <xf borderId="17" fillId="0" fontId="1" numFmtId="0" xfId="0" applyBorder="1" applyFont="1"/>
    <xf borderId="18" fillId="0" fontId="7" numFmtId="166" xfId="0" applyBorder="1" applyFont="1" applyNumberFormat="1"/>
    <xf borderId="21" fillId="0" fontId="1" numFmtId="166" xfId="0" applyAlignment="1" applyBorder="1" applyFont="1" applyNumberFormat="1">
      <alignment horizontal="right"/>
    </xf>
    <xf borderId="22" fillId="0" fontId="14" numFmtId="0" xfId="0" applyBorder="1" applyFont="1"/>
    <xf borderId="5" fillId="0" fontId="15" numFmtId="0" xfId="0" applyBorder="1" applyFont="1"/>
    <xf borderId="23" fillId="0" fontId="16" numFmtId="166" xfId="0" applyBorder="1" applyFont="1" applyNumberFormat="1"/>
    <xf borderId="21" fillId="0" fontId="1" numFmtId="10" xfId="0" applyBorder="1" applyFont="1" applyNumberFormat="1"/>
    <xf borderId="9" fillId="0" fontId="1" numFmtId="166" xfId="0" applyBorder="1" applyFont="1" applyNumberFormat="1"/>
    <xf borderId="20" fillId="0" fontId="1" numFmtId="0" xfId="0" applyAlignment="1" applyBorder="1" applyFont="1">
      <alignment horizontal="right"/>
    </xf>
    <xf borderId="21" fillId="0" fontId="1" numFmtId="172" xfId="0" applyBorder="1" applyFont="1" applyNumberFormat="1"/>
    <xf borderId="21" fillId="0" fontId="1" numFmtId="173" xfId="0" applyBorder="1" applyFont="1" applyNumberFormat="1"/>
    <xf borderId="33" fillId="0" fontId="1" numFmtId="0" xfId="0" applyBorder="1" applyFont="1"/>
    <xf borderId="11" fillId="0" fontId="1" numFmtId="9" xfId="0" applyBorder="1" applyFont="1" applyNumberFormat="1"/>
    <xf borderId="12" fillId="0" fontId="1" numFmtId="166" xfId="0" applyBorder="1" applyFont="1" applyNumberFormat="1"/>
    <xf borderId="21" fillId="0" fontId="1" numFmtId="166" xfId="0" applyBorder="1" applyFont="1" applyNumberFormat="1"/>
    <xf borderId="20" fillId="0" fontId="17" numFmtId="0" xfId="0" applyBorder="1" applyFont="1"/>
    <xf borderId="9" fillId="0" fontId="18" numFmtId="166" xfId="0" applyBorder="1" applyFont="1" applyNumberFormat="1"/>
    <xf borderId="10" fillId="0" fontId="7" numFmtId="0" xfId="0" applyBorder="1" applyFont="1"/>
    <xf borderId="11" fillId="0" fontId="7" numFmtId="0" xfId="0" applyBorder="1" applyFont="1"/>
    <xf borderId="34" fillId="0" fontId="7" numFmtId="0" xfId="0" applyBorder="1" applyFont="1"/>
    <xf borderId="8" fillId="0" fontId="19" numFmtId="0" xfId="0" applyBorder="1" applyFont="1"/>
    <xf borderId="21" fillId="0" fontId="1" numFmtId="10" xfId="0" applyAlignment="1" applyBorder="1" applyFont="1" applyNumberFormat="1">
      <alignment horizontal="right"/>
    </xf>
    <xf borderId="7" fillId="3" fontId="1" numFmtId="166" xfId="0" applyBorder="1" applyFont="1" applyNumberFormat="1"/>
    <xf borderId="9" fillId="0" fontId="1" numFmtId="167" xfId="0" applyBorder="1" applyFont="1" applyNumberFormat="1"/>
    <xf borderId="18" fillId="0" fontId="1" numFmtId="166" xfId="0" applyBorder="1" applyFont="1" applyNumberFormat="1"/>
    <xf borderId="21" fillId="0" fontId="1" numFmtId="0" xfId="0" applyAlignment="1" applyBorder="1" applyFont="1">
      <alignment horizontal="right"/>
    </xf>
    <xf borderId="9" fillId="0" fontId="1" numFmtId="10" xfId="0" applyBorder="1" applyFont="1" applyNumberFormat="1"/>
    <xf borderId="9" fillId="0" fontId="7" numFmtId="174" xfId="0" applyBorder="1" applyFont="1" applyNumberFormat="1"/>
    <xf borderId="7" fillId="3" fontId="1" numFmtId="174" xfId="0" applyBorder="1" applyFont="1" applyNumberFormat="1"/>
    <xf borderId="12" fillId="0" fontId="1" numFmtId="10" xfId="0" applyBorder="1" applyFont="1" applyNumberFormat="1"/>
    <xf borderId="18" fillId="0" fontId="1" numFmtId="9" xfId="0" applyBorder="1" applyFont="1" applyNumberFormat="1"/>
    <xf borderId="21" fillId="0" fontId="1" numFmtId="9" xfId="0" applyAlignment="1" applyBorder="1" applyFont="1" applyNumberFormat="1">
      <alignment horizontal="right"/>
    </xf>
    <xf borderId="34" fillId="0" fontId="1" numFmtId="166" xfId="0" applyAlignment="1" applyBorder="1" applyFont="1" applyNumberFormat="1">
      <alignment horizontal="right"/>
    </xf>
    <xf borderId="35" fillId="2" fontId="7" numFmtId="0" xfId="0" applyBorder="1" applyFont="1"/>
    <xf borderId="35" fillId="2" fontId="10" numFmtId="0" xfId="0" applyBorder="1" applyFont="1"/>
    <xf borderId="0" fillId="0" fontId="20" numFmtId="0" xfId="0" applyAlignment="1" applyFont="1">
      <alignment horizontal="right"/>
    </xf>
    <xf borderId="21" fillId="0" fontId="21" numFmtId="0" xfId="0" applyAlignment="1" applyBorder="1" applyFont="1">
      <alignment horizontal="right"/>
    </xf>
    <xf borderId="21" fillId="0" fontId="1" numFmtId="9" xfId="0" applyBorder="1" applyFont="1" applyNumberFormat="1"/>
    <xf borderId="34" fillId="0" fontId="1" numFmtId="9" xfId="0" applyBorder="1" applyFont="1" applyNumberFormat="1"/>
    <xf borderId="7" fillId="3" fontId="7" numFmtId="166" xfId="0" applyBorder="1" applyFont="1" applyNumberFormat="1"/>
    <xf borderId="0" fillId="0" fontId="7" numFmtId="166" xfId="0" applyFont="1" applyNumberFormat="1"/>
    <xf borderId="21" fillId="0" fontId="7" numFmtId="166" xfId="0" applyBorder="1" applyFont="1" applyNumberFormat="1"/>
    <xf borderId="7" fillId="3" fontId="1" numFmtId="10" xfId="0" applyBorder="1" applyFont="1" applyNumberFormat="1"/>
    <xf borderId="9" fillId="0" fontId="1" numFmtId="175" xfId="0" applyBorder="1" applyFont="1" applyNumberFormat="1"/>
    <xf borderId="12" fillId="0" fontId="1" numFmtId="175" xfId="0" applyBorder="1" applyFont="1" applyNumberFormat="1"/>
    <xf borderId="0" fillId="0" fontId="1" numFmtId="167" xfId="0" applyFont="1" applyNumberFormat="1"/>
    <xf borderId="21" fillId="0" fontId="1" numFmtId="167" xfId="0" applyBorder="1" applyFont="1" applyNumberFormat="1"/>
    <xf borderId="7" fillId="3" fontId="1" numFmtId="167" xfId="0" applyBorder="1" applyFont="1" applyNumberFormat="1"/>
    <xf borderId="36" fillId="0" fontId="1" numFmtId="0" xfId="0" applyBorder="1" applyFont="1"/>
    <xf borderId="37" fillId="0" fontId="1" numFmtId="0" xfId="0" applyBorder="1" applyFont="1"/>
    <xf borderId="38" fillId="0" fontId="1" numFmtId="0" xfId="0" applyBorder="1" applyFont="1"/>
    <xf borderId="37" fillId="0" fontId="1" numFmtId="167" xfId="0" applyBorder="1" applyFont="1" applyNumberFormat="1"/>
    <xf borderId="39" fillId="0" fontId="1" numFmtId="0" xfId="0" applyBorder="1" applyFont="1"/>
    <xf borderId="40" fillId="0" fontId="1" numFmtId="0" xfId="0" applyBorder="1" applyFont="1"/>
    <xf borderId="41" fillId="0" fontId="1" numFmtId="0" xfId="0" applyBorder="1" applyFont="1"/>
    <xf borderId="42" fillId="0" fontId="7" numFmtId="0" xfId="0" applyBorder="1" applyFont="1"/>
    <xf borderId="43" fillId="0" fontId="7" numFmtId="0" xfId="0" applyAlignment="1" applyBorder="1" applyFont="1">
      <alignment horizontal="center"/>
    </xf>
    <xf borderId="44" fillId="0" fontId="7" numFmtId="0" xfId="0" applyAlignment="1" applyBorder="1" applyFont="1">
      <alignment horizontal="center"/>
    </xf>
    <xf borderId="45" fillId="0" fontId="1" numFmtId="0" xfId="0" applyBorder="1" applyFont="1"/>
    <xf borderId="6" fillId="0" fontId="1" numFmtId="9" xfId="0" applyAlignment="1" applyBorder="1" applyFont="1" applyNumberFormat="1">
      <alignment horizontal="center" vertical="center"/>
    </xf>
    <xf borderId="46" fillId="0" fontId="1" numFmtId="9" xfId="0" applyAlignment="1" applyBorder="1" applyFont="1" applyNumberFormat="1">
      <alignment horizontal="center" vertical="center"/>
    </xf>
    <xf borderId="6" fillId="0" fontId="1" numFmtId="176" xfId="0" applyAlignment="1" applyBorder="1" applyFont="1" applyNumberFormat="1">
      <alignment horizontal="center" vertical="center"/>
    </xf>
    <xf borderId="46" fillId="0" fontId="1" numFmtId="176" xfId="0" applyAlignment="1" applyBorder="1" applyFont="1" applyNumberFormat="1">
      <alignment horizontal="center" vertical="center"/>
    </xf>
    <xf borderId="47" fillId="0" fontId="1" numFmtId="0" xfId="0" applyBorder="1" applyFont="1"/>
    <xf borderId="48" fillId="0" fontId="1" numFmtId="176" xfId="0" applyAlignment="1" applyBorder="1" applyFont="1" applyNumberFormat="1">
      <alignment horizontal="center" vertical="center"/>
    </xf>
    <xf borderId="49" fillId="0" fontId="1" numFmtId="176" xfId="0" applyAlignment="1" applyBorder="1" applyFont="1" applyNumberFormat="1">
      <alignment horizontal="center" vertical="center"/>
    </xf>
    <xf borderId="29" fillId="4" fontId="1" numFmtId="0" xfId="0" applyBorder="1" applyFont="1"/>
    <xf borderId="50" fillId="4" fontId="7" numFmtId="0" xfId="0" applyAlignment="1" applyBorder="1" applyFont="1">
      <alignment horizontal="center" vertical="center"/>
    </xf>
    <xf borderId="51" fillId="0" fontId="6" numFmtId="0" xfId="0" applyBorder="1" applyFont="1"/>
    <xf borderId="52" fillId="0" fontId="6" numFmtId="0" xfId="0" applyBorder="1" applyFont="1"/>
    <xf borderId="35" fillId="4" fontId="1" numFmtId="0" xfId="0" applyBorder="1" applyFont="1"/>
    <xf borderId="29" fillId="4" fontId="7" numFmtId="0" xfId="0" applyBorder="1" applyFont="1"/>
    <xf borderId="53" fillId="0" fontId="6" numFmtId="0" xfId="0" applyBorder="1" applyFont="1"/>
    <xf borderId="54" fillId="0" fontId="6" numFmtId="0" xfId="0" applyBorder="1" applyFont="1"/>
    <xf borderId="55" fillId="0" fontId="6" numFmtId="0" xfId="0" applyBorder="1" applyFont="1"/>
    <xf borderId="56" fillId="4" fontId="22" numFmtId="0" xfId="0" applyBorder="1" applyFont="1"/>
    <xf borderId="57" fillId="4" fontId="1" numFmtId="0" xfId="0" applyBorder="1" applyFont="1"/>
    <xf borderId="58" fillId="4" fontId="1" numFmtId="0" xfId="0" applyBorder="1" applyFont="1"/>
    <xf borderId="59" fillId="4" fontId="1" numFmtId="175" xfId="0" applyAlignment="1" applyBorder="1" applyFont="1" applyNumberFormat="1">
      <alignment horizontal="right"/>
    </xf>
    <xf borderId="60" fillId="4" fontId="1" numFmtId="173" xfId="0" applyAlignment="1" applyBorder="1" applyFont="1" applyNumberFormat="1">
      <alignment horizontal="right"/>
    </xf>
    <xf borderId="60" fillId="4" fontId="1" numFmtId="0" xfId="0" applyAlignment="1" applyBorder="1" applyFont="1">
      <alignment horizontal="right"/>
    </xf>
    <xf borderId="60" fillId="4" fontId="1" numFmtId="9" xfId="0" applyAlignment="1" applyBorder="1" applyFont="1" applyNumberFormat="1">
      <alignment horizontal="right"/>
    </xf>
    <xf borderId="60" fillId="4" fontId="1" numFmtId="175" xfId="0" applyAlignment="1" applyBorder="1" applyFont="1" applyNumberFormat="1">
      <alignment horizontal="center"/>
    </xf>
    <xf borderId="61" fillId="4" fontId="1" numFmtId="0" xfId="0" applyBorder="1" applyFont="1"/>
    <xf borderId="62" fillId="4" fontId="1" numFmtId="0" xfId="0" applyAlignment="1" applyBorder="1" applyFont="1">
      <alignment horizontal="right"/>
    </xf>
    <xf borderId="63" fillId="4" fontId="1" numFmtId="0" xfId="0" applyBorder="1" applyFont="1"/>
    <xf borderId="64" fillId="4" fontId="1" numFmtId="0" xfId="0" applyBorder="1" applyFont="1"/>
    <xf borderId="65" fillId="4" fontId="1" numFmtId="0" xfId="0" applyBorder="1" applyFont="1"/>
    <xf borderId="7" fillId="3" fontId="1" numFmtId="173" xfId="0" applyBorder="1" applyFont="1" applyNumberFormat="1"/>
    <xf borderId="7" fillId="3" fontId="7" numFmtId="0" xfId="0" applyBorder="1" applyFont="1"/>
    <xf borderId="7" fillId="3" fontId="1" numFmtId="176" xfId="0" applyBorder="1" applyFont="1" applyNumberFormat="1"/>
    <xf borderId="7" fillId="3" fontId="7" numFmtId="0" xfId="0" applyAlignment="1" applyBorder="1" applyFont="1">
      <alignment horizontal="center" textRotation="90" vertical="center"/>
    </xf>
    <xf borderId="7" fillId="3" fontId="10" numFmtId="10" xfId="0" applyBorder="1" applyFont="1" applyNumberFormat="1"/>
    <xf borderId="7" fillId="3" fontId="3" numFmtId="176" xfId="0" applyBorder="1" applyFont="1" applyNumberFormat="1"/>
    <xf borderId="7" fillId="2" fontId="3" numFmtId="10" xfId="0" applyBorder="1" applyFont="1" applyNumberFormat="1"/>
    <xf borderId="7" fillId="2" fontId="3" numFmtId="2" xfId="0" applyAlignment="1" applyBorder="1" applyFont="1" applyNumberFormat="1">
      <alignment horizontal="center"/>
    </xf>
    <xf borderId="7" fillId="3" fontId="10" numFmtId="2" xfId="0" applyAlignment="1" applyBorder="1" applyFont="1" applyNumberFormat="1">
      <alignment horizontal="center"/>
    </xf>
    <xf borderId="7" fillId="3" fontId="1" numFmtId="10" xfId="0" applyAlignment="1" applyBorder="1" applyFont="1" applyNumberFormat="1">
      <alignment horizontal="center"/>
    </xf>
    <xf borderId="7" fillId="3" fontId="10" numFmtId="0" xfId="0" applyBorder="1" applyFont="1"/>
    <xf borderId="7" fillId="3" fontId="3" numFmtId="168" xfId="0" applyBorder="1" applyFont="1" applyNumberFormat="1"/>
    <xf borderId="7" fillId="3" fontId="1" numFmtId="164" xfId="0" applyBorder="1" applyFont="1" applyNumberFormat="1"/>
    <xf borderId="7" fillId="3" fontId="1" numFmtId="9" xfId="0" applyBorder="1" applyFont="1" applyNumberFormat="1"/>
    <xf borderId="7" fillId="3" fontId="7" numFmtId="164" xfId="0" applyBorder="1" applyFont="1" applyNumberFormat="1"/>
    <xf borderId="7" fillId="3" fontId="7" numFmtId="10" xfId="0" applyBorder="1" applyFont="1" applyNumberFormat="1"/>
    <xf borderId="56" fillId="2" fontId="2" numFmtId="0" xfId="0" applyBorder="1" applyFont="1"/>
    <xf borderId="66" fillId="2" fontId="10" numFmtId="0" xfId="0" applyBorder="1" applyFont="1"/>
    <xf borderId="66" fillId="2" fontId="11" numFmtId="0" xfId="0" applyBorder="1" applyFont="1"/>
    <xf borderId="57" fillId="2" fontId="10" numFmtId="0" xfId="0" applyBorder="1" applyFont="1"/>
    <xf borderId="67" fillId="0" fontId="1" numFmtId="0" xfId="0" applyBorder="1" applyFont="1"/>
    <xf borderId="68" fillId="0" fontId="1" numFmtId="0" xfId="0" applyBorder="1" applyFont="1"/>
    <xf borderId="69" fillId="0" fontId="7" numFmtId="0" xfId="0" applyBorder="1" applyFont="1"/>
    <xf borderId="70" fillId="0" fontId="7" numFmtId="0" xfId="0" applyBorder="1" applyFont="1"/>
    <xf borderId="67" fillId="0" fontId="23" numFmtId="0" xfId="0" applyBorder="1" applyFont="1"/>
    <xf borderId="68" fillId="0" fontId="1" numFmtId="166" xfId="0" applyBorder="1" applyFont="1" applyNumberFormat="1"/>
    <xf borderId="71" fillId="0" fontId="1" numFmtId="0" xfId="0" applyBorder="1" applyFont="1"/>
    <xf borderId="5" fillId="0" fontId="1" numFmtId="166" xfId="0" applyBorder="1" applyFont="1" applyNumberFormat="1"/>
    <xf borderId="72" fillId="0" fontId="1" numFmtId="166" xfId="0" applyBorder="1" applyFont="1" applyNumberFormat="1"/>
    <xf borderId="17" fillId="0" fontId="1" numFmtId="166" xfId="0" applyBorder="1" applyFont="1" applyNumberFormat="1"/>
    <xf borderId="70" fillId="0" fontId="1" numFmtId="166" xfId="0" applyBorder="1" applyFont="1" applyNumberFormat="1"/>
    <xf borderId="11" fillId="0" fontId="1" numFmtId="166" xfId="0" applyBorder="1" applyFont="1" applyNumberFormat="1"/>
    <xf borderId="73" fillId="0" fontId="1" numFmtId="166" xfId="0" applyBorder="1" applyFont="1" applyNumberFormat="1"/>
    <xf borderId="17" fillId="0" fontId="7" numFmtId="166" xfId="0" applyBorder="1" applyFont="1" applyNumberFormat="1"/>
    <xf borderId="70" fillId="0" fontId="7" numFmtId="166" xfId="0" applyBorder="1" applyFont="1" applyNumberFormat="1"/>
    <xf borderId="68" fillId="0" fontId="7" numFmtId="166" xfId="0" applyBorder="1" applyFont="1" applyNumberFormat="1"/>
    <xf borderId="69" fillId="0" fontId="1" numFmtId="0" xfId="0" applyBorder="1" applyFont="1"/>
    <xf borderId="0" fillId="0" fontId="1" numFmtId="176" xfId="0" applyFont="1" applyNumberFormat="1"/>
    <xf borderId="68" fillId="0" fontId="1" numFmtId="176" xfId="0" applyBorder="1" applyFont="1" applyNumberFormat="1"/>
    <xf borderId="68" fillId="0" fontId="1" numFmtId="10" xfId="0" applyBorder="1" applyFont="1" applyNumberFormat="1"/>
    <xf borderId="5" fillId="0" fontId="1" numFmtId="176" xfId="0" applyBorder="1" applyFont="1" applyNumberFormat="1"/>
    <xf borderId="5" fillId="0" fontId="1" numFmtId="164" xfId="0" applyBorder="1" applyFont="1" applyNumberFormat="1"/>
    <xf borderId="5" fillId="0" fontId="1" numFmtId="10" xfId="0" applyBorder="1" applyFont="1" applyNumberFormat="1"/>
    <xf borderId="72" fillId="0" fontId="1" numFmtId="0" xfId="0" applyBorder="1" applyFont="1"/>
    <xf borderId="0" fillId="0" fontId="1" numFmtId="164" xfId="0" applyFont="1" applyNumberFormat="1"/>
    <xf borderId="0" fillId="0" fontId="1" numFmtId="2" xfId="0" applyFont="1" applyNumberFormat="1"/>
    <xf borderId="68" fillId="0" fontId="1" numFmtId="2" xfId="0" applyBorder="1" applyFont="1" applyNumberFormat="1"/>
    <xf borderId="74" fillId="0" fontId="1" numFmtId="0" xfId="0" applyBorder="1" applyFont="1"/>
    <xf borderId="75" fillId="0" fontId="1" numFmtId="0" xfId="0" applyBorder="1" applyFont="1"/>
    <xf borderId="75" fillId="0" fontId="1" numFmtId="2" xfId="0" applyBorder="1" applyFont="1" applyNumberFormat="1"/>
    <xf borderId="75" fillId="0" fontId="1" numFmtId="166" xfId="0" applyBorder="1" applyFont="1" applyNumberFormat="1"/>
    <xf borderId="76" fillId="0" fontId="1" numFmtId="0" xfId="0" applyBorder="1" applyFont="1"/>
    <xf borderId="77" fillId="0" fontId="1" numFmtId="0" xfId="0" applyBorder="1" applyFont="1"/>
    <xf borderId="14" fillId="2" fontId="1" numFmtId="0" xfId="0" applyBorder="1" applyFont="1"/>
    <xf borderId="15" fillId="2" fontId="1" numFmtId="0" xfId="0" applyBorder="1" applyFont="1"/>
    <xf borderId="33" fillId="0" fontId="7" numFmtId="0" xfId="0" applyBorder="1" applyFont="1"/>
    <xf borderId="34" fillId="0" fontId="1" numFmtId="166" xfId="0" applyBorder="1" applyFont="1" applyNumberFormat="1"/>
    <xf borderId="0" fillId="0" fontId="1" numFmtId="9" xfId="0" applyAlignment="1" applyFont="1" applyNumberFormat="1">
      <alignment horizontal="right"/>
    </xf>
    <xf borderId="24" fillId="0" fontId="1" numFmtId="166" xfId="0" applyBorder="1" applyFont="1" applyNumberFormat="1"/>
    <xf borderId="11" fillId="0" fontId="1" numFmtId="9" xfId="0" applyAlignment="1" applyBorder="1" applyFont="1" applyNumberFormat="1">
      <alignment horizontal="right"/>
    </xf>
    <xf borderId="11" fillId="0" fontId="1" numFmtId="0" xfId="0" applyAlignment="1" applyBorder="1" applyFont="1">
      <alignment horizontal="right"/>
    </xf>
    <xf borderId="19" fillId="0" fontId="7" numFmtId="166" xfId="0" applyBorder="1" applyFont="1" applyNumberFormat="1"/>
    <xf borderId="78" fillId="0" fontId="7" numFmtId="0" xfId="0" applyBorder="1" applyFont="1"/>
    <xf borderId="79" fillId="0" fontId="7" numFmtId="167" xfId="0" applyBorder="1" applyFont="1" applyNumberFormat="1"/>
    <xf borderId="79" fillId="0" fontId="7" numFmtId="10" xfId="0" applyBorder="1" applyFont="1" applyNumberFormat="1"/>
    <xf borderId="79" fillId="0" fontId="7" numFmtId="166" xfId="0" applyBorder="1" applyFont="1" applyNumberFormat="1"/>
    <xf borderId="80" fillId="0" fontId="7" numFmtId="166" xfId="0" applyBorder="1" applyFont="1" applyNumberFormat="1"/>
    <xf borderId="29" fillId="3" fontId="11" numFmtId="0" xfId="0" applyBorder="1" applyFont="1"/>
    <xf borderId="15" fillId="2" fontId="11" numFmtId="0" xfId="0" applyBorder="1" applyFont="1"/>
    <xf borderId="7" fillId="3" fontId="11" numFmtId="0" xfId="0" applyBorder="1" applyFont="1"/>
    <xf borderId="29" fillId="3" fontId="1" numFmtId="0" xfId="0" applyBorder="1" applyFont="1"/>
    <xf borderId="29" fillId="2" fontId="3" numFmtId="0" xfId="0" applyBorder="1" applyFont="1"/>
    <xf borderId="7" fillId="2" fontId="3" numFmtId="0" xfId="0" applyBorder="1" applyFont="1"/>
    <xf borderId="22" fillId="0" fontId="1" numFmtId="0" xfId="0" applyBorder="1" applyFont="1"/>
    <xf borderId="81" fillId="0" fontId="1" numFmtId="164" xfId="0" applyBorder="1" applyFont="1" applyNumberFormat="1"/>
    <xf borderId="82" fillId="0" fontId="1" numFmtId="164" xfId="0" applyBorder="1" applyFont="1" applyNumberFormat="1"/>
    <xf borderId="83" fillId="0" fontId="1" numFmtId="164" xfId="0" applyBorder="1" applyFont="1" applyNumberFormat="1"/>
    <xf borderId="84" fillId="0" fontId="1" numFmtId="164" xfId="0" applyBorder="1" applyFont="1" applyNumberFormat="1"/>
    <xf borderId="85" fillId="0" fontId="7" numFmtId="10" xfId="0" applyBorder="1" applyFont="1" applyNumberFormat="1"/>
    <xf borderId="86" fillId="0" fontId="7" numFmtId="10" xfId="0" applyBorder="1" applyFont="1" applyNumberFormat="1"/>
    <xf borderId="7" fillId="2" fontId="11" numFmtId="0" xfId="0" applyBorder="1" applyFont="1"/>
    <xf borderId="35" fillId="2" fontId="11" numFmtId="0" xfId="0" applyBorder="1" applyFont="1"/>
    <xf borderId="7" fillId="4" fontId="24" numFmtId="0" xfId="0" applyBorder="1" applyFont="1"/>
    <xf borderId="13" fillId="2" fontId="3" numFmtId="0" xfId="0" applyAlignment="1" applyBorder="1" applyFont="1">
      <alignment horizontal="center"/>
    </xf>
    <xf borderId="14" fillId="2" fontId="3" numFmtId="0" xfId="0" applyAlignment="1" applyBorder="1" applyFont="1">
      <alignment horizontal="center"/>
    </xf>
    <xf borderId="15" fillId="2" fontId="3" numFmtId="0" xfId="0" applyAlignment="1" applyBorder="1" applyFont="1">
      <alignment horizontal="center"/>
    </xf>
    <xf borderId="8" fillId="0" fontId="25" numFmtId="175" xfId="0" applyBorder="1" applyFont="1" applyNumberFormat="1"/>
    <xf borderId="84" fillId="0" fontId="26" numFmtId="175" xfId="0" applyBorder="1" applyFont="1" applyNumberFormat="1"/>
    <xf borderId="7" fillId="2" fontId="3" numFmtId="1" xfId="0" applyBorder="1" applyFont="1" applyNumberFormat="1"/>
    <xf borderId="8" fillId="0" fontId="1" numFmtId="175" xfId="0" applyBorder="1" applyFont="1" applyNumberFormat="1"/>
    <xf borderId="84" fillId="0" fontId="1" numFmtId="175" xfId="0" applyBorder="1" applyFont="1" applyNumberFormat="1"/>
    <xf borderId="1" fillId="2" fontId="3" numFmtId="10" xfId="0" applyBorder="1" applyFont="1" applyNumberFormat="1"/>
    <xf borderId="23" fillId="0" fontId="1" numFmtId="10" xfId="0" applyBorder="1" applyFont="1" applyNumberFormat="1"/>
    <xf borderId="0" fillId="0" fontId="7" numFmtId="0" xfId="0" applyAlignment="1" applyFont="1">
      <alignment horizontal="right"/>
    </xf>
    <xf borderId="87" fillId="2" fontId="3" numFmtId="10" xfId="0" applyBorder="1" applyFont="1" applyNumberFormat="1"/>
    <xf borderId="88" fillId="2" fontId="3" numFmtId="10" xfId="0" applyBorder="1" applyFont="1" applyNumberFormat="1"/>
    <xf borderId="11" fillId="0" fontId="1" numFmtId="10" xfId="0" applyBorder="1" applyFont="1" applyNumberFormat="1"/>
    <xf borderId="2" fillId="2" fontId="3" numFmtId="1" xfId="0" applyBorder="1" applyFont="1" applyNumberFormat="1"/>
    <xf borderId="3" fillId="2" fontId="3" numFmtId="1" xfId="0" applyBorder="1" applyFont="1" applyNumberFormat="1"/>
    <xf borderId="84" fillId="0" fontId="1" numFmtId="0" xfId="0" applyBorder="1" applyFont="1"/>
    <xf borderId="7" fillId="4" fontId="1" numFmtId="10" xfId="0" applyBorder="1" applyFont="1" applyNumberFormat="1"/>
    <xf borderId="89" fillId="4" fontId="1" numFmtId="10" xfId="0" applyBorder="1" applyFont="1" applyNumberFormat="1"/>
    <xf borderId="39" fillId="0" fontId="7" numFmtId="0" xfId="0" applyBorder="1" applyFont="1"/>
    <xf borderId="90" fillId="0" fontId="7" numFmtId="175" xfId="0" applyBorder="1" applyFont="1" applyNumberFormat="1"/>
    <xf borderId="91" fillId="0" fontId="7" numFmtId="175" xfId="0" applyBorder="1" applyFont="1" applyNumberFormat="1"/>
    <xf borderId="92" fillId="4" fontId="1" numFmtId="10" xfId="0" applyBorder="1" applyFont="1" applyNumberFormat="1"/>
    <xf borderId="93" fillId="4" fontId="1" numFmtId="10" xfId="0" applyBorder="1" applyFont="1" applyNumberFormat="1"/>
    <xf borderId="29" fillId="3" fontId="3" numFmtId="0" xfId="0" applyBorder="1" applyFont="1"/>
    <xf borderId="35" fillId="2" fontId="3" numFmtId="0" xfId="0" applyBorder="1" applyFont="1"/>
    <xf borderId="94" fillId="0" fontId="7" numFmtId="0" xfId="0" applyBorder="1" applyFont="1"/>
    <xf borderId="95" fillId="0" fontId="1" numFmtId="0" xfId="0" applyAlignment="1" applyBorder="1" applyFont="1">
      <alignment horizontal="right"/>
    </xf>
    <xf borderId="95" fillId="0" fontId="7" numFmtId="0" xfId="0" applyBorder="1" applyFont="1"/>
    <xf borderId="96" fillId="0" fontId="7" numFmtId="0" xfId="0" applyBorder="1" applyFont="1"/>
    <xf borderId="0" fillId="0" fontId="1" numFmtId="175" xfId="0" applyFont="1" applyNumberFormat="1"/>
    <xf borderId="21" fillId="0" fontId="1" numFmtId="175" xfId="0" applyBorder="1" applyFont="1" applyNumberFormat="1"/>
    <xf borderId="79" fillId="0" fontId="1" numFmtId="175" xfId="0" applyBorder="1" applyFont="1" applyNumberFormat="1"/>
    <xf borderId="80" fillId="0" fontId="1" numFmtId="175" xfId="0" applyBorder="1" applyFont="1" applyNumberFormat="1"/>
    <xf borderId="7" fillId="2" fontId="27" numFmtId="0" xfId="0" applyBorder="1" applyFont="1"/>
    <xf borderId="7" fillId="2" fontId="27" numFmtId="0" xfId="0" applyAlignment="1" applyBorder="1" applyFont="1">
      <alignment horizontal="right"/>
    </xf>
    <xf borderId="7" fillId="2" fontId="27" numFmtId="166" xfId="0" applyBorder="1" applyFont="1" applyNumberFormat="1"/>
    <xf borderId="7" fillId="2" fontId="27" numFmtId="1" xfId="0" applyBorder="1" applyFont="1" applyNumberFormat="1"/>
    <xf borderId="7" fillId="2" fontId="10" numFmtId="0" xfId="0" applyAlignment="1" applyBorder="1" applyFont="1">
      <alignment horizontal="right"/>
    </xf>
    <xf borderId="7" fillId="2" fontId="10" numFmtId="166" xfId="0" applyBorder="1" applyFont="1" applyNumberFormat="1"/>
    <xf borderId="7" fillId="2" fontId="10" numFmtId="1" xfId="0" applyBorder="1" applyFont="1" applyNumberFormat="1"/>
    <xf borderId="7" fillId="2" fontId="3" numFmtId="0" xfId="0" applyAlignment="1" applyBorder="1" applyFont="1">
      <alignment horizontal="right"/>
    </xf>
    <xf borderId="24" fillId="0" fontId="28" numFmtId="166" xfId="0" applyBorder="1" applyFont="1" applyNumberFormat="1"/>
    <xf borderId="24" fillId="0" fontId="7" numFmtId="0" xfId="0" applyBorder="1" applyFont="1"/>
    <xf borderId="19" fillId="0" fontId="1" numFmtId="166" xfId="0" applyBorder="1" applyFont="1" applyNumberFormat="1"/>
    <xf borderId="19" fillId="0" fontId="1" numFmtId="10" xfId="0" applyBorder="1" applyFont="1" applyNumberFormat="1"/>
    <xf borderId="37" fillId="0" fontId="7" numFmtId="0" xfId="0" applyBorder="1" applyFont="1"/>
    <xf borderId="38" fillId="0" fontId="1" numFmtId="1" xfId="0" applyBorder="1" applyFont="1" applyNumberFormat="1"/>
    <xf borderId="21" fillId="0" fontId="1" numFmtId="176" xfId="0" applyBorder="1" applyFont="1" applyNumberFormat="1"/>
    <xf borderId="21" fillId="0" fontId="29" numFmtId="166" xfId="0" applyBorder="1" applyFont="1" applyNumberFormat="1"/>
    <xf borderId="97" fillId="2" fontId="2" numFmtId="0" xfId="0" applyBorder="1" applyFont="1"/>
    <xf borderId="98" fillId="2" fontId="10" numFmtId="0" xfId="0" applyBorder="1" applyFont="1"/>
    <xf borderId="99" fillId="2" fontId="10" numFmtId="0" xfId="0" applyBorder="1" applyFont="1"/>
    <xf borderId="79" fillId="0" fontId="1" numFmtId="0" xfId="0" applyBorder="1" applyFont="1"/>
    <xf borderId="80" fillId="0" fontId="1" numFmtId="166" xfId="0" applyBorder="1" applyFont="1" applyNumberFormat="1"/>
    <xf borderId="11" fillId="0" fontId="1" numFmtId="176" xfId="0" applyBorder="1" applyFont="1" applyNumberFormat="1"/>
    <xf borderId="34" fillId="0" fontId="1" numFmtId="176" xfId="0" applyBorder="1" applyFont="1" applyNumberFormat="1"/>
    <xf borderId="21" fillId="0" fontId="1" numFmtId="2" xfId="0" applyBorder="1" applyFont="1" applyNumberFormat="1"/>
    <xf borderId="78" fillId="0" fontId="1" numFmtId="0" xfId="0" applyBorder="1" applyFont="1"/>
    <xf borderId="79" fillId="0" fontId="1" numFmtId="2" xfId="0" applyBorder="1" applyFont="1" applyNumberFormat="1"/>
    <xf borderId="79" fillId="0" fontId="1" numFmtId="166" xfId="0" applyBorder="1" applyFont="1" applyNumberFormat="1"/>
    <xf borderId="38" fillId="0" fontId="1" numFmtId="166" xfId="0" applyAlignment="1" applyBorder="1" applyFont="1" applyNumberFormat="1">
      <alignment horizontal="right"/>
    </xf>
    <xf borderId="0" fillId="0" fontId="1" numFmtId="1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Assumptions!$B$79:$B$82</c:f>
            </c:strRef>
          </c:cat>
          <c:val>
            <c:numRef>
              <c:f>Assumptions!$E$79:$E$82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Assumptions!$J$79:$J$82</c:f>
            </c:strRef>
          </c:cat>
          <c:val>
            <c:numRef>
              <c:f>Assumptions!$M$79:$M$82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Assumptions!$R$79:$R$82</c:f>
            </c:strRef>
          </c:cat>
          <c:val>
            <c:numRef>
              <c:f>Assumptions!$U$79:$U$82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3"/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3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Assumptions!$Z$79:$Z$82</c:f>
            </c:strRef>
          </c:cat>
          <c:val>
            <c:numRef>
              <c:f>Assumptions!$AC$79:$AC$82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9525</xdr:colOff>
      <xdr:row>75</xdr:row>
      <xdr:rowOff>66675</xdr:rowOff>
    </xdr:from>
    <xdr:ext cx="3314700" cy="2952750"/>
    <xdr:graphicFrame>
      <xdr:nvGraphicFramePr>
        <xdr:cNvPr id="143190248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13</xdr:col>
      <xdr:colOff>95250</xdr:colOff>
      <xdr:row>76</xdr:row>
      <xdr:rowOff>19050</xdr:rowOff>
    </xdr:from>
    <xdr:ext cx="3314700" cy="2876550"/>
    <xdr:graphicFrame>
      <xdr:nvGraphicFramePr>
        <xdr:cNvPr id="18553435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21</xdr:col>
      <xdr:colOff>38100</xdr:colOff>
      <xdr:row>75</xdr:row>
      <xdr:rowOff>142875</xdr:rowOff>
    </xdr:from>
    <xdr:ext cx="3324225" cy="2990850"/>
    <xdr:graphicFrame>
      <xdr:nvGraphicFramePr>
        <xdr:cNvPr id="211438879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29</xdr:col>
      <xdr:colOff>209550</xdr:colOff>
      <xdr:row>75</xdr:row>
      <xdr:rowOff>57150</xdr:rowOff>
    </xdr:from>
    <xdr:ext cx="3181350" cy="2905125"/>
    <xdr:graphicFrame>
      <xdr:nvGraphicFramePr>
        <xdr:cNvPr id="41686001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7E6E6"/>
    <pageSetUpPr/>
  </sheetPr>
  <sheetViews>
    <sheetView showGridLines="0" workbookViewId="0"/>
  </sheetViews>
  <sheetFormatPr customHeight="1" defaultColWidth="14.43" defaultRowHeight="15.0"/>
  <cols>
    <col customWidth="1" min="1" max="1" width="3.71"/>
    <col customWidth="1" min="2" max="4" width="8.86"/>
    <col customWidth="1" min="5" max="5" width="19.29"/>
    <col customWidth="1" min="6" max="6" width="33.71"/>
    <col customWidth="1" min="7" max="7" width="12.86"/>
    <col customWidth="1" min="8" max="8" width="32.86"/>
    <col customWidth="1" hidden="1" min="9" max="11" width="8.86"/>
    <col customWidth="1" min="12" max="12" width="29.14"/>
    <col customWidth="1" min="13" max="13" width="8.86"/>
    <col customWidth="1" min="14" max="14" width="30.43"/>
    <col customWidth="1" min="15" max="16" width="8.86"/>
    <col customWidth="1" min="17" max="17" width="2.43"/>
    <col customWidth="1" min="18" max="18" width="59.86"/>
    <col customWidth="1" min="19" max="19" width="17.29"/>
    <col customWidth="1" min="20" max="20" width="81.86"/>
    <col customWidth="1" min="21" max="21" width="8.86"/>
    <col customWidth="1" min="22" max="23" width="4.43"/>
    <col customWidth="1" min="24" max="27" width="8.86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ht="15.75" customHeight="1">
      <c r="A2" s="1"/>
      <c r="B2" s="1"/>
      <c r="C2" s="1"/>
      <c r="D2" s="1"/>
      <c r="E2" s="1"/>
      <c r="F2" s="1"/>
      <c r="G2" s="1"/>
      <c r="H2" s="2" t="s">
        <v>0</v>
      </c>
      <c r="I2" s="3"/>
      <c r="J2" s="3"/>
      <c r="K2" s="3"/>
      <c r="L2" s="3"/>
      <c r="M2" s="1"/>
      <c r="N2" s="2" t="s">
        <v>1</v>
      </c>
      <c r="O2" s="3"/>
      <c r="P2" s="3"/>
      <c r="Q2" s="3"/>
      <c r="R2" s="4"/>
      <c r="S2" s="1"/>
      <c r="T2" s="1"/>
      <c r="U2" s="1"/>
      <c r="V2" s="1"/>
      <c r="W2" s="1"/>
      <c r="X2" s="1"/>
      <c r="Y2" s="1"/>
      <c r="Z2" s="1"/>
      <c r="AA2" s="1"/>
    </row>
    <row r="3" ht="15.75" customHeight="1">
      <c r="A3" s="1"/>
      <c r="B3" s="1"/>
      <c r="C3" s="1"/>
      <c r="D3" s="1"/>
      <c r="E3" s="1"/>
      <c r="F3" s="1"/>
      <c r="G3" s="1"/>
      <c r="H3" s="5" t="s">
        <v>2</v>
      </c>
      <c r="I3" s="6"/>
      <c r="J3" s="1"/>
      <c r="K3" s="1"/>
      <c r="L3" s="7" t="s">
        <v>3</v>
      </c>
      <c r="M3" s="8"/>
      <c r="N3" s="9" t="s">
        <v>4</v>
      </c>
      <c r="O3" s="1"/>
      <c r="P3" s="1"/>
      <c r="Q3" s="1"/>
      <c r="R3" s="10" t="str">
        <f>"Model as of " &amp; TEXT(TODAY(),"mmmm d, yyyy")</f>
        <v>Model as of August 7, 2025</v>
      </c>
      <c r="S3" s="1"/>
      <c r="T3" s="1"/>
      <c r="U3" s="1"/>
      <c r="V3" s="1"/>
      <c r="W3" s="1"/>
      <c r="X3" s="1"/>
      <c r="Y3" s="1"/>
      <c r="Z3" s="1"/>
      <c r="AA3" s="11"/>
    </row>
    <row r="4" ht="18.0" customHeight="1">
      <c r="A4" s="1"/>
      <c r="B4" s="1"/>
      <c r="C4" s="1"/>
      <c r="D4" s="1"/>
      <c r="E4" s="1"/>
      <c r="F4" s="1"/>
      <c r="G4" s="1"/>
      <c r="H4" s="12" t="s">
        <v>5</v>
      </c>
      <c r="J4" s="1"/>
      <c r="K4" s="1"/>
      <c r="L4" s="7" t="s">
        <v>6</v>
      </c>
      <c r="M4" s="8"/>
      <c r="N4" s="9" t="s">
        <v>7</v>
      </c>
      <c r="O4" s="1"/>
      <c r="P4" s="1"/>
      <c r="Q4" s="1"/>
      <c r="R4" s="10"/>
      <c r="S4" s="13"/>
      <c r="T4" s="13"/>
      <c r="U4" s="1"/>
      <c r="V4" s="1"/>
      <c r="W4" s="1"/>
      <c r="X4" s="1"/>
      <c r="Y4" s="1"/>
      <c r="Z4" s="1"/>
      <c r="AA4" s="11"/>
    </row>
    <row r="5" ht="17.25" customHeight="1">
      <c r="A5" s="1"/>
      <c r="B5" s="1"/>
      <c r="C5" s="1"/>
      <c r="D5" s="1"/>
      <c r="E5" s="1"/>
      <c r="F5" s="1"/>
      <c r="G5" s="14"/>
      <c r="H5" s="15"/>
      <c r="J5" s="1"/>
      <c r="K5" s="1"/>
      <c r="L5" s="7" t="s">
        <v>8</v>
      </c>
      <c r="M5" s="8"/>
      <c r="N5" s="16" t="s">
        <v>9</v>
      </c>
      <c r="R5" s="17"/>
      <c r="S5" s="13"/>
      <c r="T5" s="13"/>
      <c r="U5" s="1"/>
      <c r="V5" s="1"/>
      <c r="W5" s="1"/>
      <c r="X5" s="1"/>
      <c r="Y5" s="1"/>
      <c r="Z5" s="1"/>
      <c r="AA5" s="11"/>
    </row>
    <row r="6" ht="15.75" customHeight="1">
      <c r="A6" s="1"/>
      <c r="B6" s="1"/>
      <c r="C6" s="1"/>
      <c r="D6" s="1"/>
      <c r="E6" s="1"/>
      <c r="F6" s="1"/>
      <c r="G6" s="14"/>
      <c r="H6" s="15"/>
      <c r="J6" s="1"/>
      <c r="K6" s="1"/>
      <c r="L6" s="7" t="s">
        <v>10</v>
      </c>
      <c r="M6" s="8"/>
      <c r="N6" s="18" t="s">
        <v>11</v>
      </c>
      <c r="O6" s="19"/>
      <c r="P6" s="19"/>
      <c r="Q6" s="19"/>
      <c r="R6" s="20"/>
      <c r="S6" s="13"/>
      <c r="T6" s="13"/>
      <c r="U6" s="1"/>
      <c r="V6" s="1"/>
      <c r="W6" s="1"/>
      <c r="X6" s="1"/>
      <c r="Y6" s="1"/>
      <c r="Z6" s="1"/>
      <c r="AA6" s="11"/>
    </row>
    <row r="7" ht="15.75" customHeight="1">
      <c r="A7" s="1"/>
      <c r="B7" s="1"/>
      <c r="C7" s="1"/>
      <c r="D7" s="1"/>
      <c r="E7" s="1"/>
      <c r="F7" s="1"/>
      <c r="G7" s="14"/>
      <c r="H7" s="15"/>
      <c r="J7" s="1"/>
      <c r="K7" s="1"/>
      <c r="L7" s="7" t="s">
        <v>12</v>
      </c>
      <c r="M7" s="8"/>
      <c r="N7" s="21" t="s">
        <v>13</v>
      </c>
      <c r="O7" s="22"/>
      <c r="P7" s="22"/>
      <c r="Q7" s="22"/>
      <c r="R7" s="23"/>
      <c r="S7" s="13"/>
      <c r="T7" s="13"/>
      <c r="U7" s="1"/>
      <c r="V7" s="1"/>
      <c r="W7" s="1"/>
      <c r="X7" s="1"/>
      <c r="Y7" s="1"/>
      <c r="Z7" s="1"/>
      <c r="AA7" s="11"/>
    </row>
    <row r="8" ht="15.75" customHeight="1">
      <c r="A8" s="1"/>
      <c r="B8" s="1"/>
      <c r="C8" s="1"/>
      <c r="D8" s="1"/>
      <c r="E8" s="1"/>
      <c r="F8" s="1"/>
      <c r="G8" s="14"/>
      <c r="H8" s="9" t="s">
        <v>14</v>
      </c>
      <c r="I8" s="1"/>
      <c r="J8" s="1"/>
      <c r="K8" s="1"/>
      <c r="L8" s="24" t="s">
        <v>15</v>
      </c>
      <c r="M8" s="8"/>
      <c r="N8" s="18" t="s">
        <v>16</v>
      </c>
      <c r="O8" s="19"/>
      <c r="P8" s="19"/>
      <c r="Q8" s="19"/>
      <c r="R8" s="20"/>
      <c r="S8" s="13"/>
      <c r="T8" s="13"/>
      <c r="U8" s="1"/>
      <c r="V8" s="1"/>
      <c r="W8" s="1"/>
      <c r="X8" s="1"/>
      <c r="Y8" s="1"/>
      <c r="Z8" s="1"/>
      <c r="AA8" s="11"/>
    </row>
    <row r="9" ht="15.75" customHeight="1">
      <c r="A9" s="1"/>
      <c r="B9" s="1"/>
      <c r="C9" s="1"/>
      <c r="D9" s="1"/>
      <c r="E9" s="1"/>
      <c r="F9" s="1"/>
      <c r="G9" s="14"/>
      <c r="H9" s="9" t="s">
        <v>17</v>
      </c>
      <c r="I9" s="1"/>
      <c r="J9" s="1"/>
      <c r="K9" s="1"/>
      <c r="L9" s="7" t="s">
        <v>18</v>
      </c>
      <c r="M9" s="8"/>
      <c r="N9" s="9" t="s">
        <v>19</v>
      </c>
      <c r="O9" s="1"/>
      <c r="P9" s="1"/>
      <c r="Q9" s="1"/>
      <c r="R9" s="10"/>
      <c r="S9" s="13"/>
      <c r="T9" s="13"/>
      <c r="U9" s="1"/>
      <c r="V9" s="1"/>
      <c r="W9" s="1"/>
      <c r="X9" s="1"/>
      <c r="Y9" s="1"/>
      <c r="Z9" s="1"/>
      <c r="AA9" s="11"/>
    </row>
    <row r="10" ht="15.75" customHeight="1">
      <c r="A10" s="1"/>
      <c r="B10" s="1"/>
      <c r="C10" s="1"/>
      <c r="D10" s="1"/>
      <c r="E10" s="1"/>
      <c r="F10" s="1"/>
      <c r="G10" s="14"/>
      <c r="H10" s="25" t="s">
        <v>20</v>
      </c>
      <c r="I10" s="26"/>
      <c r="J10" s="26"/>
      <c r="K10" s="26"/>
      <c r="L10" s="27">
        <v>45823.0</v>
      </c>
      <c r="M10" s="28"/>
      <c r="N10" s="18"/>
      <c r="O10" s="19"/>
      <c r="P10" s="19"/>
      <c r="Q10" s="19"/>
      <c r="R10" s="20"/>
      <c r="S10" s="13"/>
      <c r="T10" s="13"/>
      <c r="U10" s="1"/>
      <c r="V10" s="1"/>
      <c r="W10" s="1"/>
      <c r="X10" s="1"/>
      <c r="Y10" s="1"/>
      <c r="Z10" s="1"/>
      <c r="AA10" s="11"/>
    </row>
    <row r="11" ht="15.75" customHeight="1">
      <c r="A11" s="1"/>
      <c r="B11" s="1"/>
      <c r="C11" s="1"/>
      <c r="D11" s="1"/>
      <c r="E11" s="1"/>
      <c r="F11" s="1"/>
      <c r="G11" s="14"/>
      <c r="H11" s="1"/>
      <c r="I11" s="1"/>
      <c r="J11" s="1"/>
      <c r="K11" s="1"/>
      <c r="L11" s="1"/>
      <c r="M11" s="1"/>
      <c r="N11" s="12"/>
      <c r="R11" s="17"/>
      <c r="S11" s="13"/>
      <c r="T11" s="13"/>
      <c r="U11" s="1"/>
      <c r="V11" s="1"/>
      <c r="W11" s="1"/>
      <c r="X11" s="1"/>
      <c r="Y11" s="1"/>
      <c r="Z11" s="1"/>
      <c r="AA11" s="11"/>
    </row>
    <row r="12" ht="15.75" customHeight="1">
      <c r="A12" s="1"/>
      <c r="B12" s="1"/>
      <c r="C12" s="1"/>
      <c r="D12" s="1"/>
      <c r="E12" s="1"/>
      <c r="F12" s="1"/>
      <c r="G12" s="14"/>
      <c r="H12" s="2" t="s">
        <v>21</v>
      </c>
      <c r="I12" s="3"/>
      <c r="J12" s="3"/>
      <c r="K12" s="3"/>
      <c r="L12" s="4"/>
      <c r="M12" s="1"/>
      <c r="N12" s="9"/>
      <c r="O12" s="1"/>
      <c r="P12" s="1"/>
      <c r="Q12" s="1"/>
      <c r="R12" s="10"/>
      <c r="S12" s="13"/>
      <c r="T12" s="13"/>
      <c r="U12" s="1"/>
      <c r="V12" s="1"/>
      <c r="W12" s="1"/>
      <c r="X12" s="1"/>
      <c r="Y12" s="1"/>
      <c r="Z12" s="1"/>
      <c r="AA12" s="11"/>
    </row>
    <row r="13" ht="15.75" customHeight="1">
      <c r="A13" s="1"/>
      <c r="B13" s="1"/>
      <c r="C13" s="1"/>
      <c r="D13" s="1"/>
      <c r="E13" s="1"/>
      <c r="F13" s="1"/>
      <c r="G13" s="14"/>
      <c r="H13" s="29" t="s">
        <v>22</v>
      </c>
      <c r="L13" s="30">
        <f>'Tranche 4P'!H39</f>
        <v>55000000</v>
      </c>
      <c r="M13" s="1"/>
      <c r="N13" s="9"/>
      <c r="O13" s="1"/>
      <c r="P13" s="1"/>
      <c r="Q13" s="1"/>
      <c r="R13" s="10"/>
      <c r="S13" s="13"/>
      <c r="T13" s="13"/>
      <c r="U13" s="1"/>
      <c r="V13" s="1"/>
      <c r="W13" s="1"/>
      <c r="X13" s="1"/>
      <c r="Y13" s="1"/>
      <c r="Z13" s="1"/>
      <c r="AA13" s="1"/>
    </row>
    <row r="14" ht="15.75" customHeight="1">
      <c r="A14" s="1"/>
      <c r="B14" s="1"/>
      <c r="C14" s="1"/>
      <c r="D14" s="1"/>
      <c r="E14" s="1"/>
      <c r="F14" s="1"/>
      <c r="G14" s="14"/>
      <c r="H14" s="29" t="s">
        <v>23</v>
      </c>
      <c r="L14" s="30">
        <f>Returns!G19</f>
        <v>18166500</v>
      </c>
      <c r="M14" s="1"/>
      <c r="N14" s="9"/>
      <c r="O14" s="1"/>
      <c r="P14" s="1"/>
      <c r="Q14" s="1"/>
      <c r="R14" s="10"/>
      <c r="S14" s="13"/>
      <c r="T14" s="13"/>
      <c r="U14" s="1"/>
      <c r="V14" s="1"/>
      <c r="W14" s="1"/>
      <c r="X14" s="1"/>
      <c r="Y14" s="1"/>
      <c r="Z14" s="1"/>
      <c r="AA14" s="1"/>
    </row>
    <row r="15" ht="15.75" customHeight="1">
      <c r="A15" s="1"/>
      <c r="B15" s="1"/>
      <c r="C15" s="1"/>
      <c r="D15" s="1"/>
      <c r="E15" s="1"/>
      <c r="F15" s="1"/>
      <c r="G15" s="14"/>
      <c r="H15" s="29" t="s">
        <v>24</v>
      </c>
      <c r="L15" s="31">
        <f>Assumptions!D61</f>
        <v>0.06396094046</v>
      </c>
      <c r="M15" s="1"/>
      <c r="N15" s="9"/>
      <c r="O15" s="1"/>
      <c r="P15" s="1"/>
      <c r="Q15" s="1"/>
      <c r="R15" s="10"/>
      <c r="S15" s="13"/>
      <c r="T15" s="13"/>
      <c r="U15" s="1"/>
      <c r="V15" s="1"/>
      <c r="W15" s="1"/>
      <c r="X15" s="1"/>
      <c r="Y15" s="1"/>
      <c r="Z15" s="1"/>
      <c r="AA15" s="1"/>
    </row>
    <row r="16" ht="15.75" customHeight="1">
      <c r="A16" s="1"/>
      <c r="B16" s="1"/>
      <c r="C16" s="1"/>
      <c r="D16" s="1"/>
      <c r="E16" s="1"/>
      <c r="F16" s="1"/>
      <c r="G16" s="14"/>
      <c r="H16" s="29" t="s">
        <v>25</v>
      </c>
      <c r="L16" s="31">
        <f>Assumptions!D64</f>
        <v>0.06</v>
      </c>
      <c r="M16" s="32"/>
      <c r="N16" s="9"/>
      <c r="O16" s="1"/>
      <c r="P16" s="1"/>
      <c r="Q16" s="1"/>
      <c r="R16" s="10"/>
      <c r="S16" s="13"/>
      <c r="T16" s="13"/>
      <c r="U16" s="1"/>
      <c r="V16" s="1"/>
      <c r="W16" s="1"/>
      <c r="X16" s="1"/>
      <c r="Y16" s="1"/>
      <c r="Z16" s="1"/>
      <c r="AA16" s="1"/>
    </row>
    <row r="17" ht="15.75" customHeight="1">
      <c r="A17" s="1"/>
      <c r="B17" s="1"/>
      <c r="C17" s="1"/>
      <c r="D17" s="1"/>
      <c r="E17" s="1"/>
      <c r="F17" s="1"/>
      <c r="G17" s="14"/>
      <c r="H17" s="29" t="s">
        <v>26</v>
      </c>
      <c r="L17" s="30">
        <f>'Tranche 4P'!L32</f>
        <v>3517851.725</v>
      </c>
      <c r="M17" s="1"/>
      <c r="N17" s="9"/>
      <c r="O17" s="1"/>
      <c r="P17" s="1"/>
      <c r="Q17" s="1"/>
      <c r="R17" s="10"/>
      <c r="S17" s="13"/>
      <c r="T17" s="13"/>
      <c r="U17" s="1"/>
      <c r="V17" s="1"/>
      <c r="W17" s="1"/>
      <c r="X17" s="1"/>
      <c r="Y17" s="1"/>
      <c r="Z17" s="1"/>
      <c r="AA17" s="1"/>
    </row>
    <row r="18" ht="15.75" customHeight="1">
      <c r="A18" s="1"/>
      <c r="B18" s="1"/>
      <c r="C18" s="1"/>
      <c r="D18" s="1"/>
      <c r="E18" s="1"/>
      <c r="F18" s="1"/>
      <c r="G18" s="1"/>
      <c r="H18" s="29" t="s">
        <v>27</v>
      </c>
      <c r="L18" s="31">
        <f>Returns!D33</f>
        <v>0.2038838972</v>
      </c>
      <c r="M18" s="1"/>
      <c r="N18" s="9"/>
      <c r="O18" s="1"/>
      <c r="P18" s="1"/>
      <c r="Q18" s="1"/>
      <c r="R18" s="10"/>
      <c r="S18" s="1"/>
      <c r="T18" s="13"/>
      <c r="U18" s="1"/>
      <c r="V18" s="1"/>
      <c r="W18" s="1"/>
      <c r="X18" s="1"/>
      <c r="Y18" s="1"/>
      <c r="Z18" s="1"/>
      <c r="AA18" s="1"/>
    </row>
    <row r="19" ht="15.75" customHeight="1">
      <c r="A19" s="1"/>
      <c r="B19" s="1"/>
      <c r="C19" s="1"/>
      <c r="D19" s="1"/>
      <c r="E19" s="1"/>
      <c r="F19" s="1"/>
      <c r="G19" s="1"/>
      <c r="H19" s="29" t="s">
        <v>28</v>
      </c>
      <c r="L19" s="33">
        <f>Returns!C33</f>
        <v>3.834217462</v>
      </c>
      <c r="M19" s="1"/>
      <c r="N19" s="25"/>
      <c r="O19" s="26"/>
      <c r="P19" s="26"/>
      <c r="Q19" s="26"/>
      <c r="R19" s="34"/>
      <c r="S19" s="1"/>
      <c r="T19" s="13"/>
      <c r="U19" s="1"/>
      <c r="V19" s="1"/>
      <c r="W19" s="1"/>
      <c r="X19" s="1"/>
      <c r="Y19" s="1"/>
      <c r="Z19" s="1"/>
      <c r="AA19" s="1"/>
    </row>
    <row r="20" ht="15.75" customHeight="1">
      <c r="A20" s="1"/>
      <c r="B20" s="1"/>
      <c r="C20" s="1"/>
      <c r="D20" s="1"/>
      <c r="E20" s="1"/>
      <c r="F20" s="1"/>
      <c r="G20" s="1"/>
      <c r="H20" s="35" t="s">
        <v>29</v>
      </c>
      <c r="I20" s="36"/>
      <c r="J20" s="36"/>
      <c r="K20" s="36"/>
      <c r="L20" s="37">
        <f>Assumptions!D68</f>
        <v>10</v>
      </c>
      <c r="M20" s="1"/>
      <c r="N20" s="1"/>
      <c r="O20" s="1"/>
      <c r="P20" s="1"/>
      <c r="Q20" s="1"/>
      <c r="R20" s="1"/>
      <c r="S20" s="1"/>
      <c r="T20" s="13"/>
      <c r="U20" s="1"/>
      <c r="V20" s="1"/>
      <c r="W20" s="1"/>
      <c r="X20" s="1"/>
      <c r="Y20" s="1"/>
      <c r="Z20" s="1"/>
      <c r="AA20" s="1"/>
    </row>
    <row r="21" ht="15.75" customHeight="1">
      <c r="A21" s="1"/>
      <c r="B21" s="1"/>
      <c r="C21" s="1"/>
      <c r="D21" s="1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3"/>
      <c r="W21" s="1"/>
      <c r="X21" s="1"/>
      <c r="Y21" s="1"/>
      <c r="Z21" s="1"/>
      <c r="AA21" s="1"/>
    </row>
    <row r="22" ht="15.75" customHeight="1">
      <c r="A22" s="1"/>
      <c r="B22" s="1"/>
      <c r="C22" s="1"/>
      <c r="D22" s="1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3"/>
      <c r="W22" s="1"/>
      <c r="X22" s="1"/>
      <c r="Y22" s="1"/>
      <c r="Z22" s="1"/>
      <c r="AA22" s="1"/>
    </row>
    <row r="23" ht="15.75" customHeight="1">
      <c r="A23" s="1"/>
      <c r="B23" s="1"/>
      <c r="C23" s="1"/>
      <c r="D23" s="1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ht="18.0" customHeight="1">
      <c r="A24" s="1"/>
      <c r="B24" s="3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ht="18.0" customHeight="1">
      <c r="A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ht="18.0" customHeight="1">
      <c r="A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ht="15.75" customHeight="1">
      <c r="A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ht="15.75" customHeight="1">
      <c r="A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ht="15.75" customHeight="1">
      <c r="A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ht="15.75" customHeight="1">
      <c r="A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ht="15.75" customHeight="1">
      <c r="A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ht="15.75" customHeight="1">
      <c r="A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ht="15.75" customHeight="1">
      <c r="A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ht="15.75" customHeight="1">
      <c r="A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ht="15.75" customHeight="1">
      <c r="A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ht="52.5" customHeight="1">
      <c r="A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ht="27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ht="27.75" customHeight="1">
      <c r="A38" s="1"/>
      <c r="B38" s="39" t="s">
        <v>30</v>
      </c>
      <c r="C38" s="40"/>
      <c r="D38" s="40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ht="15.75" customHeight="1">
      <c r="A39" s="1"/>
      <c r="B39" s="1" t="s">
        <v>31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ht="15.75" hidden="1" customHeight="1">
      <c r="A68" s="1"/>
      <c r="B68" s="1" t="s">
        <v>32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ht="15.75" hidden="1" customHeight="1">
      <c r="A69" s="1"/>
      <c r="B69" s="1" t="s">
        <v>33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ht="15.75" hidden="1" customHeight="1">
      <c r="A70" s="1"/>
      <c r="B70" s="1" t="s">
        <v>34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ht="15.75" hidden="1" customHeight="1">
      <c r="A71" s="1"/>
      <c r="B71" s="1" t="s">
        <v>35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ht="15.75" hidden="1" customHeight="1">
      <c r="A72" s="1"/>
      <c r="B72" s="1" t="s">
        <v>15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ht="15.75" hidden="1" customHeight="1">
      <c r="A73" s="1"/>
      <c r="B73" s="1" t="s">
        <v>36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ht="15.75" hidden="1" customHeight="1">
      <c r="A74" s="1"/>
      <c r="B74" s="1" t="s">
        <v>37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ht="15.75" hidden="1" customHeight="1">
      <c r="A75" s="1"/>
      <c r="B75" s="1" t="s">
        <v>38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ht="15.7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</sheetData>
  <mergeCells count="12">
    <mergeCell ref="H17:K17"/>
    <mergeCell ref="H18:K18"/>
    <mergeCell ref="H19:K19"/>
    <mergeCell ref="H20:K20"/>
    <mergeCell ref="B24:N36"/>
    <mergeCell ref="H4:I7"/>
    <mergeCell ref="N5:R5"/>
    <mergeCell ref="N11:R11"/>
    <mergeCell ref="H13:K13"/>
    <mergeCell ref="H14:K14"/>
    <mergeCell ref="H15:K15"/>
    <mergeCell ref="H16:K16"/>
  </mergeCells>
  <dataValidations>
    <dataValidation type="list" allowBlank="1" showErrorMessage="1" sqref="L8">
      <formula1>$B$68:$B$75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4.0" ySplit="2.0" topLeftCell="E3" activePane="bottomRight" state="frozen"/>
      <selection activeCell="E1" sqref="E1" pane="topRight"/>
      <selection activeCell="A3" sqref="A3" pane="bottomLeft"/>
      <selection activeCell="E3" sqref="E3" pane="bottomRight"/>
    </sheetView>
  </sheetViews>
  <sheetFormatPr customHeight="1" defaultColWidth="14.43" defaultRowHeight="15.0"/>
  <cols>
    <col customWidth="1" min="1" max="1" width="3.86"/>
    <col customWidth="1" min="2" max="2" width="3.14"/>
    <col customWidth="1" min="3" max="3" width="19.86"/>
    <col customWidth="1" min="4" max="4" width="22.14"/>
    <col customWidth="1" min="5" max="5" width="12.14"/>
    <col customWidth="1" min="6" max="6" width="23.43"/>
    <col customWidth="1" min="7" max="7" width="12.86"/>
    <col customWidth="1" min="8" max="8" width="12.71"/>
    <col customWidth="1" min="9" max="9" width="12.14"/>
    <col customWidth="1" min="10" max="10" width="19.43"/>
    <col customWidth="1" min="11" max="11" width="14.71"/>
    <col customWidth="1" min="12" max="18" width="12.14"/>
    <col customWidth="1" min="19" max="19" width="16.29"/>
    <col customWidth="1" min="20" max="22" width="12.14"/>
    <col customWidth="1" min="23" max="23" width="28.86"/>
    <col customWidth="1" min="24" max="26" width="12.14"/>
    <col customWidth="1" min="27" max="27" width="24.29"/>
    <col customWidth="1" min="28" max="123" width="12.14"/>
    <col customWidth="1" min="124" max="124" width="12.86"/>
    <col customWidth="1" min="125" max="136" width="12.14"/>
  </cols>
  <sheetData>
    <row r="1" ht="15.75" customHeight="1">
      <c r="A1" s="1"/>
      <c r="B1" s="84"/>
      <c r="C1" s="304" t="s">
        <v>192</v>
      </c>
      <c r="D1" s="84"/>
      <c r="E1" s="84">
        <v>1.0</v>
      </c>
      <c r="F1" s="84">
        <f t="shared" ref="F1:EF1" si="1">E1+1</f>
        <v>2</v>
      </c>
      <c r="G1" s="84">
        <f t="shared" si="1"/>
        <v>3</v>
      </c>
      <c r="H1" s="84">
        <f t="shared" si="1"/>
        <v>4</v>
      </c>
      <c r="I1" s="84">
        <f t="shared" si="1"/>
        <v>5</v>
      </c>
      <c r="J1" s="84">
        <f t="shared" si="1"/>
        <v>6</v>
      </c>
      <c r="K1" s="84">
        <f t="shared" si="1"/>
        <v>7</v>
      </c>
      <c r="L1" s="84">
        <f t="shared" si="1"/>
        <v>8</v>
      </c>
      <c r="M1" s="84">
        <f t="shared" si="1"/>
        <v>9</v>
      </c>
      <c r="N1" s="84">
        <f t="shared" si="1"/>
        <v>10</v>
      </c>
      <c r="O1" s="84">
        <f t="shared" si="1"/>
        <v>11</v>
      </c>
      <c r="P1" s="84">
        <f t="shared" si="1"/>
        <v>12</v>
      </c>
      <c r="Q1" s="84">
        <f t="shared" si="1"/>
        <v>13</v>
      </c>
      <c r="R1" s="84">
        <f t="shared" si="1"/>
        <v>14</v>
      </c>
      <c r="S1" s="84">
        <f t="shared" si="1"/>
        <v>15</v>
      </c>
      <c r="T1" s="84">
        <f t="shared" si="1"/>
        <v>16</v>
      </c>
      <c r="U1" s="84">
        <f t="shared" si="1"/>
        <v>17</v>
      </c>
      <c r="V1" s="84">
        <f t="shared" si="1"/>
        <v>18</v>
      </c>
      <c r="W1" s="84">
        <f t="shared" si="1"/>
        <v>19</v>
      </c>
      <c r="X1" s="84">
        <f t="shared" si="1"/>
        <v>20</v>
      </c>
      <c r="Y1" s="84">
        <f t="shared" si="1"/>
        <v>21</v>
      </c>
      <c r="Z1" s="84">
        <f t="shared" si="1"/>
        <v>22</v>
      </c>
      <c r="AA1" s="84">
        <f t="shared" si="1"/>
        <v>23</v>
      </c>
      <c r="AB1" s="84">
        <f t="shared" si="1"/>
        <v>24</v>
      </c>
      <c r="AC1" s="84">
        <f t="shared" si="1"/>
        <v>25</v>
      </c>
      <c r="AD1" s="84">
        <f t="shared" si="1"/>
        <v>26</v>
      </c>
      <c r="AE1" s="84">
        <f t="shared" si="1"/>
        <v>27</v>
      </c>
      <c r="AF1" s="84">
        <f t="shared" si="1"/>
        <v>28</v>
      </c>
      <c r="AG1" s="84">
        <f t="shared" si="1"/>
        <v>29</v>
      </c>
      <c r="AH1" s="84">
        <f t="shared" si="1"/>
        <v>30</v>
      </c>
      <c r="AI1" s="84">
        <f t="shared" si="1"/>
        <v>31</v>
      </c>
      <c r="AJ1" s="84">
        <f t="shared" si="1"/>
        <v>32</v>
      </c>
      <c r="AK1" s="84">
        <f t="shared" si="1"/>
        <v>33</v>
      </c>
      <c r="AL1" s="84">
        <f t="shared" si="1"/>
        <v>34</v>
      </c>
      <c r="AM1" s="84">
        <f t="shared" si="1"/>
        <v>35</v>
      </c>
      <c r="AN1" s="84">
        <f t="shared" si="1"/>
        <v>36</v>
      </c>
      <c r="AO1" s="84">
        <f t="shared" si="1"/>
        <v>37</v>
      </c>
      <c r="AP1" s="84">
        <f t="shared" si="1"/>
        <v>38</v>
      </c>
      <c r="AQ1" s="84">
        <f t="shared" si="1"/>
        <v>39</v>
      </c>
      <c r="AR1" s="84">
        <f t="shared" si="1"/>
        <v>40</v>
      </c>
      <c r="AS1" s="84">
        <f t="shared" si="1"/>
        <v>41</v>
      </c>
      <c r="AT1" s="84">
        <f t="shared" si="1"/>
        <v>42</v>
      </c>
      <c r="AU1" s="84">
        <f t="shared" si="1"/>
        <v>43</v>
      </c>
      <c r="AV1" s="84">
        <f t="shared" si="1"/>
        <v>44</v>
      </c>
      <c r="AW1" s="84">
        <f t="shared" si="1"/>
        <v>45</v>
      </c>
      <c r="AX1" s="84">
        <f t="shared" si="1"/>
        <v>46</v>
      </c>
      <c r="AY1" s="84">
        <f t="shared" si="1"/>
        <v>47</v>
      </c>
      <c r="AZ1" s="84">
        <f t="shared" si="1"/>
        <v>48</v>
      </c>
      <c r="BA1" s="84">
        <f t="shared" si="1"/>
        <v>49</v>
      </c>
      <c r="BB1" s="84">
        <f t="shared" si="1"/>
        <v>50</v>
      </c>
      <c r="BC1" s="84">
        <f t="shared" si="1"/>
        <v>51</v>
      </c>
      <c r="BD1" s="84">
        <f t="shared" si="1"/>
        <v>52</v>
      </c>
      <c r="BE1" s="84">
        <f t="shared" si="1"/>
        <v>53</v>
      </c>
      <c r="BF1" s="84">
        <f t="shared" si="1"/>
        <v>54</v>
      </c>
      <c r="BG1" s="84">
        <f t="shared" si="1"/>
        <v>55</v>
      </c>
      <c r="BH1" s="84">
        <f t="shared" si="1"/>
        <v>56</v>
      </c>
      <c r="BI1" s="84">
        <f t="shared" si="1"/>
        <v>57</v>
      </c>
      <c r="BJ1" s="84">
        <f t="shared" si="1"/>
        <v>58</v>
      </c>
      <c r="BK1" s="84">
        <f t="shared" si="1"/>
        <v>59</v>
      </c>
      <c r="BL1" s="84">
        <f t="shared" si="1"/>
        <v>60</v>
      </c>
      <c r="BM1" s="84">
        <f t="shared" si="1"/>
        <v>61</v>
      </c>
      <c r="BN1" s="84">
        <f t="shared" si="1"/>
        <v>62</v>
      </c>
      <c r="BO1" s="84">
        <f t="shared" si="1"/>
        <v>63</v>
      </c>
      <c r="BP1" s="84">
        <f t="shared" si="1"/>
        <v>64</v>
      </c>
      <c r="BQ1" s="84">
        <f t="shared" si="1"/>
        <v>65</v>
      </c>
      <c r="BR1" s="84">
        <f t="shared" si="1"/>
        <v>66</v>
      </c>
      <c r="BS1" s="84">
        <f t="shared" si="1"/>
        <v>67</v>
      </c>
      <c r="BT1" s="84">
        <f t="shared" si="1"/>
        <v>68</v>
      </c>
      <c r="BU1" s="84">
        <f t="shared" si="1"/>
        <v>69</v>
      </c>
      <c r="BV1" s="84">
        <f t="shared" si="1"/>
        <v>70</v>
      </c>
      <c r="BW1" s="84">
        <f t="shared" si="1"/>
        <v>71</v>
      </c>
      <c r="BX1" s="84">
        <f t="shared" si="1"/>
        <v>72</v>
      </c>
      <c r="BY1" s="84">
        <f t="shared" si="1"/>
        <v>73</v>
      </c>
      <c r="BZ1" s="84">
        <f t="shared" si="1"/>
        <v>74</v>
      </c>
      <c r="CA1" s="84">
        <f t="shared" si="1"/>
        <v>75</v>
      </c>
      <c r="CB1" s="84">
        <f t="shared" si="1"/>
        <v>76</v>
      </c>
      <c r="CC1" s="84">
        <f t="shared" si="1"/>
        <v>77</v>
      </c>
      <c r="CD1" s="84">
        <f t="shared" si="1"/>
        <v>78</v>
      </c>
      <c r="CE1" s="84">
        <f t="shared" si="1"/>
        <v>79</v>
      </c>
      <c r="CF1" s="84">
        <f t="shared" si="1"/>
        <v>80</v>
      </c>
      <c r="CG1" s="84">
        <f t="shared" si="1"/>
        <v>81</v>
      </c>
      <c r="CH1" s="84">
        <f t="shared" si="1"/>
        <v>82</v>
      </c>
      <c r="CI1" s="84">
        <f t="shared" si="1"/>
        <v>83</v>
      </c>
      <c r="CJ1" s="84">
        <f t="shared" si="1"/>
        <v>84</v>
      </c>
      <c r="CK1" s="84">
        <f t="shared" si="1"/>
        <v>85</v>
      </c>
      <c r="CL1" s="84">
        <f t="shared" si="1"/>
        <v>86</v>
      </c>
      <c r="CM1" s="84">
        <f t="shared" si="1"/>
        <v>87</v>
      </c>
      <c r="CN1" s="84">
        <f t="shared" si="1"/>
        <v>88</v>
      </c>
      <c r="CO1" s="84">
        <f t="shared" si="1"/>
        <v>89</v>
      </c>
      <c r="CP1" s="84">
        <f t="shared" si="1"/>
        <v>90</v>
      </c>
      <c r="CQ1" s="84">
        <f t="shared" si="1"/>
        <v>91</v>
      </c>
      <c r="CR1" s="84">
        <f t="shared" si="1"/>
        <v>92</v>
      </c>
      <c r="CS1" s="84">
        <f t="shared" si="1"/>
        <v>93</v>
      </c>
      <c r="CT1" s="84">
        <f t="shared" si="1"/>
        <v>94</v>
      </c>
      <c r="CU1" s="84">
        <f t="shared" si="1"/>
        <v>95</v>
      </c>
      <c r="CV1" s="84">
        <f t="shared" si="1"/>
        <v>96</v>
      </c>
      <c r="CW1" s="84">
        <f t="shared" si="1"/>
        <v>97</v>
      </c>
      <c r="CX1" s="84">
        <f t="shared" si="1"/>
        <v>98</v>
      </c>
      <c r="CY1" s="84">
        <f t="shared" si="1"/>
        <v>99</v>
      </c>
      <c r="CZ1" s="84">
        <f t="shared" si="1"/>
        <v>100</v>
      </c>
      <c r="DA1" s="84">
        <f t="shared" si="1"/>
        <v>101</v>
      </c>
      <c r="DB1" s="84">
        <f t="shared" si="1"/>
        <v>102</v>
      </c>
      <c r="DC1" s="84">
        <f t="shared" si="1"/>
        <v>103</v>
      </c>
      <c r="DD1" s="84">
        <f t="shared" si="1"/>
        <v>104</v>
      </c>
      <c r="DE1" s="84">
        <f t="shared" si="1"/>
        <v>105</v>
      </c>
      <c r="DF1" s="84">
        <f t="shared" si="1"/>
        <v>106</v>
      </c>
      <c r="DG1" s="84">
        <f t="shared" si="1"/>
        <v>107</v>
      </c>
      <c r="DH1" s="84">
        <f t="shared" si="1"/>
        <v>108</v>
      </c>
      <c r="DI1" s="84">
        <f t="shared" si="1"/>
        <v>109</v>
      </c>
      <c r="DJ1" s="84">
        <f t="shared" si="1"/>
        <v>110</v>
      </c>
      <c r="DK1" s="84">
        <f t="shared" si="1"/>
        <v>111</v>
      </c>
      <c r="DL1" s="84">
        <f t="shared" si="1"/>
        <v>112</v>
      </c>
      <c r="DM1" s="84">
        <f t="shared" si="1"/>
        <v>113</v>
      </c>
      <c r="DN1" s="84">
        <f t="shared" si="1"/>
        <v>114</v>
      </c>
      <c r="DO1" s="84">
        <f t="shared" si="1"/>
        <v>115</v>
      </c>
      <c r="DP1" s="84">
        <f t="shared" si="1"/>
        <v>116</v>
      </c>
      <c r="DQ1" s="84">
        <f t="shared" si="1"/>
        <v>117</v>
      </c>
      <c r="DR1" s="84">
        <f t="shared" si="1"/>
        <v>118</v>
      </c>
      <c r="DS1" s="84">
        <f t="shared" si="1"/>
        <v>119</v>
      </c>
      <c r="DT1" s="84">
        <f t="shared" si="1"/>
        <v>120</v>
      </c>
      <c r="DU1" s="84">
        <f t="shared" si="1"/>
        <v>121</v>
      </c>
      <c r="DV1" s="84">
        <f t="shared" si="1"/>
        <v>122</v>
      </c>
      <c r="DW1" s="84">
        <f t="shared" si="1"/>
        <v>123</v>
      </c>
      <c r="DX1" s="84">
        <f t="shared" si="1"/>
        <v>124</v>
      </c>
      <c r="DY1" s="84">
        <f t="shared" si="1"/>
        <v>125</v>
      </c>
      <c r="DZ1" s="84">
        <f t="shared" si="1"/>
        <v>126</v>
      </c>
      <c r="EA1" s="84">
        <f t="shared" si="1"/>
        <v>127</v>
      </c>
      <c r="EB1" s="84">
        <f t="shared" si="1"/>
        <v>128</v>
      </c>
      <c r="EC1" s="84">
        <f t="shared" si="1"/>
        <v>129</v>
      </c>
      <c r="ED1" s="84">
        <f t="shared" si="1"/>
        <v>130</v>
      </c>
      <c r="EE1" s="84">
        <f t="shared" si="1"/>
        <v>131</v>
      </c>
      <c r="EF1" s="84">
        <f t="shared" si="1"/>
        <v>132</v>
      </c>
    </row>
    <row r="2" ht="15.75" customHeight="1">
      <c r="A2" s="1"/>
      <c r="B2" s="84"/>
      <c r="C2" s="304" t="s">
        <v>136</v>
      </c>
      <c r="D2" s="84"/>
      <c r="E2" s="84">
        <f t="shared" ref="E2:EF2" si="2">ROUNDUP(E1/12,0)</f>
        <v>1</v>
      </c>
      <c r="F2" s="84">
        <f t="shared" si="2"/>
        <v>1</v>
      </c>
      <c r="G2" s="84">
        <f t="shared" si="2"/>
        <v>1</v>
      </c>
      <c r="H2" s="84">
        <f t="shared" si="2"/>
        <v>1</v>
      </c>
      <c r="I2" s="84">
        <f t="shared" si="2"/>
        <v>1</v>
      </c>
      <c r="J2" s="84">
        <f t="shared" si="2"/>
        <v>1</v>
      </c>
      <c r="K2" s="84">
        <f t="shared" si="2"/>
        <v>1</v>
      </c>
      <c r="L2" s="84">
        <f t="shared" si="2"/>
        <v>1</v>
      </c>
      <c r="M2" s="84">
        <f t="shared" si="2"/>
        <v>1</v>
      </c>
      <c r="N2" s="84">
        <f t="shared" si="2"/>
        <v>1</v>
      </c>
      <c r="O2" s="84">
        <f t="shared" si="2"/>
        <v>1</v>
      </c>
      <c r="P2" s="84">
        <f t="shared" si="2"/>
        <v>1</v>
      </c>
      <c r="Q2" s="84">
        <f t="shared" si="2"/>
        <v>2</v>
      </c>
      <c r="R2" s="84">
        <f t="shared" si="2"/>
        <v>2</v>
      </c>
      <c r="S2" s="84">
        <f t="shared" si="2"/>
        <v>2</v>
      </c>
      <c r="T2" s="84">
        <f t="shared" si="2"/>
        <v>2</v>
      </c>
      <c r="U2" s="84">
        <f t="shared" si="2"/>
        <v>2</v>
      </c>
      <c r="V2" s="84">
        <f t="shared" si="2"/>
        <v>2</v>
      </c>
      <c r="W2" s="84">
        <f t="shared" si="2"/>
        <v>2</v>
      </c>
      <c r="X2" s="84">
        <f t="shared" si="2"/>
        <v>2</v>
      </c>
      <c r="Y2" s="84">
        <f t="shared" si="2"/>
        <v>2</v>
      </c>
      <c r="Z2" s="84">
        <f t="shared" si="2"/>
        <v>2</v>
      </c>
      <c r="AA2" s="84">
        <f t="shared" si="2"/>
        <v>2</v>
      </c>
      <c r="AB2" s="84">
        <f t="shared" si="2"/>
        <v>2</v>
      </c>
      <c r="AC2" s="84">
        <f t="shared" si="2"/>
        <v>3</v>
      </c>
      <c r="AD2" s="84">
        <f t="shared" si="2"/>
        <v>3</v>
      </c>
      <c r="AE2" s="84">
        <f t="shared" si="2"/>
        <v>3</v>
      </c>
      <c r="AF2" s="84">
        <f t="shared" si="2"/>
        <v>3</v>
      </c>
      <c r="AG2" s="84">
        <f t="shared" si="2"/>
        <v>3</v>
      </c>
      <c r="AH2" s="84">
        <f t="shared" si="2"/>
        <v>3</v>
      </c>
      <c r="AI2" s="84">
        <f t="shared" si="2"/>
        <v>3</v>
      </c>
      <c r="AJ2" s="84">
        <f t="shared" si="2"/>
        <v>3</v>
      </c>
      <c r="AK2" s="84">
        <f t="shared" si="2"/>
        <v>3</v>
      </c>
      <c r="AL2" s="84">
        <f t="shared" si="2"/>
        <v>3</v>
      </c>
      <c r="AM2" s="84">
        <f t="shared" si="2"/>
        <v>3</v>
      </c>
      <c r="AN2" s="84">
        <f t="shared" si="2"/>
        <v>3</v>
      </c>
      <c r="AO2" s="84">
        <f t="shared" si="2"/>
        <v>4</v>
      </c>
      <c r="AP2" s="84">
        <f t="shared" si="2"/>
        <v>4</v>
      </c>
      <c r="AQ2" s="84">
        <f t="shared" si="2"/>
        <v>4</v>
      </c>
      <c r="AR2" s="84">
        <f t="shared" si="2"/>
        <v>4</v>
      </c>
      <c r="AS2" s="84">
        <f t="shared" si="2"/>
        <v>4</v>
      </c>
      <c r="AT2" s="84">
        <f t="shared" si="2"/>
        <v>4</v>
      </c>
      <c r="AU2" s="84">
        <f t="shared" si="2"/>
        <v>4</v>
      </c>
      <c r="AV2" s="84">
        <f t="shared" si="2"/>
        <v>4</v>
      </c>
      <c r="AW2" s="84">
        <f t="shared" si="2"/>
        <v>4</v>
      </c>
      <c r="AX2" s="84">
        <f t="shared" si="2"/>
        <v>4</v>
      </c>
      <c r="AY2" s="84">
        <f t="shared" si="2"/>
        <v>4</v>
      </c>
      <c r="AZ2" s="84">
        <f t="shared" si="2"/>
        <v>4</v>
      </c>
      <c r="BA2" s="84">
        <f t="shared" si="2"/>
        <v>5</v>
      </c>
      <c r="BB2" s="84">
        <f t="shared" si="2"/>
        <v>5</v>
      </c>
      <c r="BC2" s="84">
        <f t="shared" si="2"/>
        <v>5</v>
      </c>
      <c r="BD2" s="84">
        <f t="shared" si="2"/>
        <v>5</v>
      </c>
      <c r="BE2" s="84">
        <f t="shared" si="2"/>
        <v>5</v>
      </c>
      <c r="BF2" s="84">
        <f t="shared" si="2"/>
        <v>5</v>
      </c>
      <c r="BG2" s="84">
        <f t="shared" si="2"/>
        <v>5</v>
      </c>
      <c r="BH2" s="84">
        <f t="shared" si="2"/>
        <v>5</v>
      </c>
      <c r="BI2" s="84">
        <f t="shared" si="2"/>
        <v>5</v>
      </c>
      <c r="BJ2" s="84">
        <f t="shared" si="2"/>
        <v>5</v>
      </c>
      <c r="BK2" s="84">
        <f t="shared" si="2"/>
        <v>5</v>
      </c>
      <c r="BL2" s="84">
        <f t="shared" si="2"/>
        <v>5</v>
      </c>
      <c r="BM2" s="84">
        <f t="shared" si="2"/>
        <v>6</v>
      </c>
      <c r="BN2" s="84">
        <f t="shared" si="2"/>
        <v>6</v>
      </c>
      <c r="BO2" s="84">
        <f t="shared" si="2"/>
        <v>6</v>
      </c>
      <c r="BP2" s="84">
        <f t="shared" si="2"/>
        <v>6</v>
      </c>
      <c r="BQ2" s="84">
        <f t="shared" si="2"/>
        <v>6</v>
      </c>
      <c r="BR2" s="84">
        <f t="shared" si="2"/>
        <v>6</v>
      </c>
      <c r="BS2" s="84">
        <f t="shared" si="2"/>
        <v>6</v>
      </c>
      <c r="BT2" s="84">
        <f t="shared" si="2"/>
        <v>6</v>
      </c>
      <c r="BU2" s="84">
        <f t="shared" si="2"/>
        <v>6</v>
      </c>
      <c r="BV2" s="84">
        <f t="shared" si="2"/>
        <v>6</v>
      </c>
      <c r="BW2" s="84">
        <f t="shared" si="2"/>
        <v>6</v>
      </c>
      <c r="BX2" s="84">
        <f t="shared" si="2"/>
        <v>6</v>
      </c>
      <c r="BY2" s="84">
        <f t="shared" si="2"/>
        <v>7</v>
      </c>
      <c r="BZ2" s="84">
        <f t="shared" si="2"/>
        <v>7</v>
      </c>
      <c r="CA2" s="84">
        <f t="shared" si="2"/>
        <v>7</v>
      </c>
      <c r="CB2" s="84">
        <f t="shared" si="2"/>
        <v>7</v>
      </c>
      <c r="CC2" s="84">
        <f t="shared" si="2"/>
        <v>7</v>
      </c>
      <c r="CD2" s="84">
        <f t="shared" si="2"/>
        <v>7</v>
      </c>
      <c r="CE2" s="84">
        <f t="shared" si="2"/>
        <v>7</v>
      </c>
      <c r="CF2" s="84">
        <f t="shared" si="2"/>
        <v>7</v>
      </c>
      <c r="CG2" s="84">
        <f t="shared" si="2"/>
        <v>7</v>
      </c>
      <c r="CH2" s="84">
        <f t="shared" si="2"/>
        <v>7</v>
      </c>
      <c r="CI2" s="84">
        <f t="shared" si="2"/>
        <v>7</v>
      </c>
      <c r="CJ2" s="84">
        <f t="shared" si="2"/>
        <v>7</v>
      </c>
      <c r="CK2" s="84">
        <f t="shared" si="2"/>
        <v>8</v>
      </c>
      <c r="CL2" s="84">
        <f t="shared" si="2"/>
        <v>8</v>
      </c>
      <c r="CM2" s="84">
        <f t="shared" si="2"/>
        <v>8</v>
      </c>
      <c r="CN2" s="84">
        <f t="shared" si="2"/>
        <v>8</v>
      </c>
      <c r="CO2" s="84">
        <f t="shared" si="2"/>
        <v>8</v>
      </c>
      <c r="CP2" s="84">
        <f t="shared" si="2"/>
        <v>8</v>
      </c>
      <c r="CQ2" s="84">
        <f t="shared" si="2"/>
        <v>8</v>
      </c>
      <c r="CR2" s="84">
        <f t="shared" si="2"/>
        <v>8</v>
      </c>
      <c r="CS2" s="84">
        <f t="shared" si="2"/>
        <v>8</v>
      </c>
      <c r="CT2" s="84">
        <f t="shared" si="2"/>
        <v>8</v>
      </c>
      <c r="CU2" s="84">
        <f t="shared" si="2"/>
        <v>8</v>
      </c>
      <c r="CV2" s="84">
        <f t="shared" si="2"/>
        <v>8</v>
      </c>
      <c r="CW2" s="84">
        <f t="shared" si="2"/>
        <v>9</v>
      </c>
      <c r="CX2" s="84">
        <f t="shared" si="2"/>
        <v>9</v>
      </c>
      <c r="CY2" s="84">
        <f t="shared" si="2"/>
        <v>9</v>
      </c>
      <c r="CZ2" s="84">
        <f t="shared" si="2"/>
        <v>9</v>
      </c>
      <c r="DA2" s="84">
        <f t="shared" si="2"/>
        <v>9</v>
      </c>
      <c r="DB2" s="84">
        <f t="shared" si="2"/>
        <v>9</v>
      </c>
      <c r="DC2" s="84">
        <f t="shared" si="2"/>
        <v>9</v>
      </c>
      <c r="DD2" s="84">
        <f t="shared" si="2"/>
        <v>9</v>
      </c>
      <c r="DE2" s="84">
        <f t="shared" si="2"/>
        <v>9</v>
      </c>
      <c r="DF2" s="84">
        <f t="shared" si="2"/>
        <v>9</v>
      </c>
      <c r="DG2" s="84">
        <f t="shared" si="2"/>
        <v>9</v>
      </c>
      <c r="DH2" s="84">
        <f t="shared" si="2"/>
        <v>9</v>
      </c>
      <c r="DI2" s="84">
        <f t="shared" si="2"/>
        <v>10</v>
      </c>
      <c r="DJ2" s="84">
        <f t="shared" si="2"/>
        <v>10</v>
      </c>
      <c r="DK2" s="84">
        <f t="shared" si="2"/>
        <v>10</v>
      </c>
      <c r="DL2" s="84">
        <f t="shared" si="2"/>
        <v>10</v>
      </c>
      <c r="DM2" s="84">
        <f t="shared" si="2"/>
        <v>10</v>
      </c>
      <c r="DN2" s="84">
        <f t="shared" si="2"/>
        <v>10</v>
      </c>
      <c r="DO2" s="84">
        <f t="shared" si="2"/>
        <v>10</v>
      </c>
      <c r="DP2" s="84">
        <f t="shared" si="2"/>
        <v>10</v>
      </c>
      <c r="DQ2" s="84">
        <f t="shared" si="2"/>
        <v>10</v>
      </c>
      <c r="DR2" s="84">
        <f t="shared" si="2"/>
        <v>10</v>
      </c>
      <c r="DS2" s="84">
        <f t="shared" si="2"/>
        <v>10</v>
      </c>
      <c r="DT2" s="84">
        <f t="shared" si="2"/>
        <v>10</v>
      </c>
      <c r="DU2" s="84">
        <f t="shared" si="2"/>
        <v>11</v>
      </c>
      <c r="DV2" s="84">
        <f t="shared" si="2"/>
        <v>11</v>
      </c>
      <c r="DW2" s="84">
        <f t="shared" si="2"/>
        <v>11</v>
      </c>
      <c r="DX2" s="84">
        <f t="shared" si="2"/>
        <v>11</v>
      </c>
      <c r="DY2" s="84">
        <f t="shared" si="2"/>
        <v>11</v>
      </c>
      <c r="DZ2" s="84">
        <f t="shared" si="2"/>
        <v>11</v>
      </c>
      <c r="EA2" s="84">
        <f t="shared" si="2"/>
        <v>11</v>
      </c>
      <c r="EB2" s="302">
        <f t="shared" si="2"/>
        <v>11</v>
      </c>
      <c r="EC2" s="84">
        <f t="shared" si="2"/>
        <v>11</v>
      </c>
      <c r="ED2" s="84">
        <f t="shared" si="2"/>
        <v>11</v>
      </c>
      <c r="EE2" s="84">
        <f t="shared" si="2"/>
        <v>11</v>
      </c>
      <c r="EF2" s="303">
        <f t="shared" si="2"/>
        <v>11</v>
      </c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</row>
    <row r="4" ht="15.75" customHeight="1">
      <c r="A4" s="1"/>
      <c r="B4" s="1"/>
      <c r="C4" s="1"/>
      <c r="D4" s="1" t="s">
        <v>68</v>
      </c>
      <c r="E4" s="54">
        <f>'305 e. Daniel'!D21+'75 e. Armory'!D21+'507 s. Second'!D21+'901 w. Western'!D21</f>
        <v>559152.7565</v>
      </c>
      <c r="F4" s="54">
        <f>'305 e. Daniel'!E21+'75 e. Armory'!E21+'507 s. Second'!E21+'901 w. Western'!E21</f>
        <v>559152.7565</v>
      </c>
      <c r="G4" s="54">
        <f>'305 e. Daniel'!F21+'75 e. Armory'!F21+'507 s. Second'!F21+'901 w. Western'!F21</f>
        <v>559152.7565</v>
      </c>
      <c r="H4" s="54">
        <f>'305 e. Daniel'!G21+'75 e. Armory'!G21+'507 s. Second'!G21+'901 w. Western'!G21</f>
        <v>559152.7565</v>
      </c>
      <c r="I4" s="54">
        <f>'305 e. Daniel'!H21+'75 e. Armory'!H21+'507 s. Second'!H21+'901 w. Western'!H21</f>
        <v>559152.7565</v>
      </c>
      <c r="J4" s="54">
        <f>'305 e. Daniel'!I21+'75 e. Armory'!I21+'507 s. Second'!I21+'901 w. Western'!I21</f>
        <v>559152.7565</v>
      </c>
      <c r="K4" s="54">
        <f>'305 e. Daniel'!J21+'75 e. Armory'!J21+'507 s. Second'!J21+'901 w. Western'!J21</f>
        <v>559152.7565</v>
      </c>
      <c r="L4" s="54">
        <f>'305 e. Daniel'!K21+'75 e. Armory'!K21+'507 s. Second'!K21+'901 w. Western'!K21</f>
        <v>559152.7565</v>
      </c>
      <c r="M4" s="54">
        <f>'305 e. Daniel'!L21+'75 e. Armory'!L21+'507 s. Second'!L21+'901 w. Western'!L21</f>
        <v>559152.7565</v>
      </c>
      <c r="N4" s="54">
        <f>'305 e. Daniel'!M21+'75 e. Armory'!M21+'507 s. Second'!M21+'901 w. Western'!M21</f>
        <v>559152.7565</v>
      </c>
      <c r="O4" s="54">
        <f>'305 e. Daniel'!N21+'75 e. Armory'!N21+'507 s. Second'!N21+'901 w. Western'!N21</f>
        <v>559152.7565</v>
      </c>
      <c r="P4" s="54">
        <f>'305 e. Daniel'!O21+'75 e. Armory'!O21+'507 s. Second'!O21+'901 w. Western'!O21</f>
        <v>559152.7565</v>
      </c>
      <c r="Q4" s="54">
        <f>'305 e. Daniel'!P21+'75 e. Armory'!P21+'507 s. Second'!P21+'901 w. Western'!P21</f>
        <v>615706.3129</v>
      </c>
      <c r="R4" s="54">
        <f>'305 e. Daniel'!Q21+'75 e. Armory'!Q21+'507 s. Second'!Q21+'901 w. Western'!Q21</f>
        <v>615706.3129</v>
      </c>
      <c r="S4" s="54">
        <f>'305 e. Daniel'!R21+'75 e. Armory'!R21+'507 s. Second'!R21+'901 w. Western'!R21</f>
        <v>615706.3129</v>
      </c>
      <c r="T4" s="54">
        <f>'305 e. Daniel'!S21+'75 e. Armory'!S21+'507 s. Second'!S21+'901 w. Western'!S21</f>
        <v>615706.3129</v>
      </c>
      <c r="U4" s="54">
        <f>'305 e. Daniel'!T21+'75 e. Armory'!T21+'507 s. Second'!T21+'901 w. Western'!T21</f>
        <v>615706.3129</v>
      </c>
      <c r="V4" s="54">
        <f>'305 e. Daniel'!U21+'75 e. Armory'!U21+'507 s. Second'!U21+'901 w. Western'!U21</f>
        <v>615706.3129</v>
      </c>
      <c r="W4" s="54">
        <f>'305 e. Daniel'!V21+'75 e. Armory'!V21+'507 s. Second'!V21+'901 w. Western'!V21</f>
        <v>615706.3129</v>
      </c>
      <c r="X4" s="54">
        <f>'305 e. Daniel'!W21+'75 e. Armory'!W21+'507 s. Second'!W21+'901 w. Western'!W21</f>
        <v>615706.3129</v>
      </c>
      <c r="Y4" s="54">
        <f>'305 e. Daniel'!X21+'75 e. Armory'!X21+'507 s. Second'!X21+'901 w. Western'!X21</f>
        <v>615706.3129</v>
      </c>
      <c r="Z4" s="54">
        <f>'305 e. Daniel'!Y21+'75 e. Armory'!Y21+'507 s. Second'!Y21+'901 w. Western'!Y21</f>
        <v>615706.3129</v>
      </c>
      <c r="AA4" s="54">
        <f>'305 e. Daniel'!Z21+'75 e. Armory'!Z21+'507 s. Second'!Z21+'901 w. Western'!Z21</f>
        <v>615706.3129</v>
      </c>
      <c r="AB4" s="54">
        <f>'305 e. Daniel'!AA21+'75 e. Armory'!AA21+'507 s. Second'!AA21+'901 w. Western'!AA21</f>
        <v>615706.3129</v>
      </c>
      <c r="AC4" s="54">
        <f>'305 e. Daniel'!AB21+'75 e. Armory'!AB21+'507 s. Second'!AB21+'901 w. Western'!AB21</f>
        <v>634177.5023</v>
      </c>
      <c r="AD4" s="54">
        <f>'305 e. Daniel'!AC21+'75 e. Armory'!AC21+'507 s. Second'!AC21+'901 w. Western'!AC21</f>
        <v>634177.5023</v>
      </c>
      <c r="AE4" s="54">
        <f>'305 e. Daniel'!AD21+'75 e. Armory'!AD21+'507 s. Second'!AD21+'901 w. Western'!AD21</f>
        <v>634177.5023</v>
      </c>
      <c r="AF4" s="54">
        <f>'305 e. Daniel'!AE21+'75 e. Armory'!AE21+'507 s. Second'!AE21+'901 w. Western'!AE21</f>
        <v>634177.5023</v>
      </c>
      <c r="AG4" s="54">
        <f>'305 e. Daniel'!AF21+'75 e. Armory'!AF21+'507 s. Second'!AF21+'901 w. Western'!AF21</f>
        <v>634177.5023</v>
      </c>
      <c r="AH4" s="54">
        <f>'305 e. Daniel'!AG21+'75 e. Armory'!AG21+'507 s. Second'!AG21+'901 w. Western'!AG21</f>
        <v>634177.5023</v>
      </c>
      <c r="AI4" s="54">
        <f>'305 e. Daniel'!AH21+'75 e. Armory'!AH21+'507 s. Second'!AH21+'901 w. Western'!AH21</f>
        <v>634177.5023</v>
      </c>
      <c r="AJ4" s="54">
        <f>'305 e. Daniel'!AI21+'75 e. Armory'!AI21+'507 s. Second'!AI21+'901 w. Western'!AI21</f>
        <v>634177.5023</v>
      </c>
      <c r="AK4" s="54">
        <f>'305 e. Daniel'!AJ21+'75 e. Armory'!AJ21+'507 s. Second'!AJ21+'901 w. Western'!AJ21</f>
        <v>634177.5023</v>
      </c>
      <c r="AL4" s="54">
        <f>'305 e. Daniel'!AK21+'75 e. Armory'!AK21+'507 s. Second'!AK21+'901 w. Western'!AK21</f>
        <v>634177.5023</v>
      </c>
      <c r="AM4" s="54">
        <f>'305 e. Daniel'!AL21+'75 e. Armory'!AL21+'507 s. Second'!AL21+'901 w. Western'!AL21</f>
        <v>634177.5023</v>
      </c>
      <c r="AN4" s="54">
        <f>'305 e. Daniel'!AM21+'75 e. Armory'!AM21+'507 s. Second'!AM21+'901 w. Western'!AM21</f>
        <v>634177.5023</v>
      </c>
      <c r="AO4" s="54">
        <f>'305 e. Daniel'!AN21+'75 e. Armory'!AN21+'507 s. Second'!AN21+'901 w. Western'!AN21</f>
        <v>653202.8273</v>
      </c>
      <c r="AP4" s="54">
        <f>'305 e. Daniel'!AO21+'75 e. Armory'!AO21+'507 s. Second'!AO21+'901 w. Western'!AO21</f>
        <v>653202.8273</v>
      </c>
      <c r="AQ4" s="54">
        <f>'305 e. Daniel'!AP21+'75 e. Armory'!AP21+'507 s. Second'!AP21+'901 w. Western'!AP21</f>
        <v>653202.8273</v>
      </c>
      <c r="AR4" s="54">
        <f>'305 e. Daniel'!AQ21+'75 e. Armory'!AQ21+'507 s. Second'!AQ21+'901 w. Western'!AQ21</f>
        <v>653202.8273</v>
      </c>
      <c r="AS4" s="54">
        <f>'305 e. Daniel'!AR21+'75 e. Armory'!AR21+'507 s. Second'!AR21+'901 w. Western'!AR21</f>
        <v>653202.8273</v>
      </c>
      <c r="AT4" s="54">
        <f>'305 e. Daniel'!AS21+'75 e. Armory'!AS21+'507 s. Second'!AS21+'901 w. Western'!AS21</f>
        <v>653202.8273</v>
      </c>
      <c r="AU4" s="54">
        <f>'305 e. Daniel'!AT21+'75 e. Armory'!AT21+'507 s. Second'!AT21+'901 w. Western'!AT21</f>
        <v>653202.8273</v>
      </c>
      <c r="AV4" s="54">
        <f>'305 e. Daniel'!AU21+'75 e. Armory'!AU21+'507 s. Second'!AU21+'901 w. Western'!AU21</f>
        <v>653202.8273</v>
      </c>
      <c r="AW4" s="54">
        <f>'305 e. Daniel'!AV21+'75 e. Armory'!AV21+'507 s. Second'!AV21+'901 w. Western'!AV21</f>
        <v>653202.8273</v>
      </c>
      <c r="AX4" s="54">
        <f>'305 e. Daniel'!AW21+'75 e. Armory'!AW21+'507 s. Second'!AW21+'901 w. Western'!AW21</f>
        <v>653202.8273</v>
      </c>
      <c r="AY4" s="54">
        <f>'305 e. Daniel'!AX21+'75 e. Armory'!AX21+'507 s. Second'!AX21+'901 w. Western'!AX21</f>
        <v>653202.8273</v>
      </c>
      <c r="AZ4" s="54">
        <f>'305 e. Daniel'!AY21+'75 e. Armory'!AY21+'507 s. Second'!AY21+'901 w. Western'!AY21</f>
        <v>653202.8273</v>
      </c>
      <c r="BA4" s="54">
        <f>'305 e. Daniel'!AZ21+'75 e. Armory'!AZ21+'507 s. Second'!AZ21+'901 w. Western'!AZ21</f>
        <v>672798.9122</v>
      </c>
      <c r="BB4" s="54">
        <f>'305 e. Daniel'!BA21+'75 e. Armory'!BA21+'507 s. Second'!BA21+'901 w. Western'!BA21</f>
        <v>672798.9122</v>
      </c>
      <c r="BC4" s="54">
        <f>'305 e. Daniel'!BB21+'75 e. Armory'!BB21+'507 s. Second'!BB21+'901 w. Western'!BB21</f>
        <v>672798.9122</v>
      </c>
      <c r="BD4" s="54">
        <f>'305 e. Daniel'!BC21+'75 e. Armory'!BC21+'507 s. Second'!BC21+'901 w. Western'!BC21</f>
        <v>672798.9122</v>
      </c>
      <c r="BE4" s="54">
        <f>'305 e. Daniel'!BD21+'75 e. Armory'!BD21+'507 s. Second'!BD21+'901 w. Western'!BD21</f>
        <v>672798.9122</v>
      </c>
      <c r="BF4" s="54">
        <f>'305 e. Daniel'!BE21+'75 e. Armory'!BE21+'507 s. Second'!BE21+'901 w. Western'!BE21</f>
        <v>672798.9122</v>
      </c>
      <c r="BG4" s="54">
        <f>'305 e. Daniel'!BF21+'75 e. Armory'!BF21+'507 s. Second'!BF21+'901 w. Western'!BF21</f>
        <v>672798.9122</v>
      </c>
      <c r="BH4" s="54">
        <f>'305 e. Daniel'!BG21+'75 e. Armory'!BG21+'507 s. Second'!BG21+'901 w. Western'!BG21</f>
        <v>672798.9122</v>
      </c>
      <c r="BI4" s="54">
        <f>'305 e. Daniel'!BH21+'75 e. Armory'!BH21+'507 s. Second'!BH21+'901 w. Western'!BH21</f>
        <v>672798.9122</v>
      </c>
      <c r="BJ4" s="54">
        <f>'305 e. Daniel'!BI21+'75 e. Armory'!BI21+'507 s. Second'!BI21+'901 w. Western'!BI21</f>
        <v>672798.9122</v>
      </c>
      <c r="BK4" s="54">
        <f>'305 e. Daniel'!BJ21+'75 e. Armory'!BJ21+'507 s. Second'!BJ21+'901 w. Western'!BJ21</f>
        <v>672798.9122</v>
      </c>
      <c r="BL4" s="54">
        <f>'305 e. Daniel'!BK21+'75 e. Armory'!BK21+'507 s. Second'!BK21+'901 w. Western'!BK21</f>
        <v>672798.9122</v>
      </c>
      <c r="BM4" s="54">
        <f>'305 e. Daniel'!BL21+'75 e. Armory'!BL21+'507 s. Second'!BL21+'901 w. Western'!BL21</f>
        <v>692982.8795</v>
      </c>
      <c r="BN4" s="54">
        <f>'305 e. Daniel'!BM21+'75 e. Armory'!BM21+'507 s. Second'!BM21+'901 w. Western'!BM21</f>
        <v>692982.8795</v>
      </c>
      <c r="BO4" s="54">
        <f>'305 e. Daniel'!BN21+'75 e. Armory'!BN21+'507 s. Second'!BN21+'901 w. Western'!BN21</f>
        <v>692982.8795</v>
      </c>
      <c r="BP4" s="54">
        <f>'305 e. Daniel'!BO21+'75 e. Armory'!BO21+'507 s. Second'!BO21+'901 w. Western'!BO21</f>
        <v>692982.8795</v>
      </c>
      <c r="BQ4" s="54">
        <f>'305 e. Daniel'!BP21+'75 e. Armory'!BP21+'507 s. Second'!BP21+'901 w. Western'!BP21</f>
        <v>692982.8795</v>
      </c>
      <c r="BR4" s="54">
        <f>'305 e. Daniel'!BQ21+'75 e. Armory'!BQ21+'507 s. Second'!BQ21+'901 w. Western'!BQ21</f>
        <v>692982.8795</v>
      </c>
      <c r="BS4" s="54">
        <f>'305 e. Daniel'!BR21+'75 e. Armory'!BR21+'507 s. Second'!BR21+'901 w. Western'!BR21</f>
        <v>692982.8795</v>
      </c>
      <c r="BT4" s="54">
        <f>'305 e. Daniel'!BS21+'75 e. Armory'!BS21+'507 s. Second'!BS21+'901 w. Western'!BS21</f>
        <v>692982.8795</v>
      </c>
      <c r="BU4" s="54">
        <f>'305 e. Daniel'!BT21+'75 e. Armory'!BT21+'507 s. Second'!BT21+'901 w. Western'!BT21</f>
        <v>692982.8795</v>
      </c>
      <c r="BV4" s="54">
        <f>'305 e. Daniel'!BU21+'75 e. Armory'!BU21+'507 s. Second'!BU21+'901 w. Western'!BU21</f>
        <v>692982.8795</v>
      </c>
      <c r="BW4" s="54">
        <f>'305 e. Daniel'!BV21+'75 e. Armory'!BV21+'507 s. Second'!BV21+'901 w. Western'!BV21</f>
        <v>692982.8795</v>
      </c>
      <c r="BX4" s="54">
        <f>'305 e. Daniel'!BW21+'75 e. Armory'!BW21+'507 s. Second'!BW21+'901 w. Western'!BW21</f>
        <v>692982.8795</v>
      </c>
      <c r="BY4" s="54">
        <f>'305 e. Daniel'!BX21+'75 e. Armory'!BX21+'507 s. Second'!BX21+'901 w. Western'!BX21</f>
        <v>713772.3659</v>
      </c>
      <c r="BZ4" s="54">
        <f>'305 e. Daniel'!BY21+'75 e. Armory'!BY21+'507 s. Second'!BY21+'901 w. Western'!BY21</f>
        <v>713772.3659</v>
      </c>
      <c r="CA4" s="54">
        <f>'305 e. Daniel'!BZ21+'75 e. Armory'!BZ21+'507 s. Second'!BZ21+'901 w. Western'!BZ21</f>
        <v>713772.3659</v>
      </c>
      <c r="CB4" s="54">
        <f>'305 e. Daniel'!CA21+'75 e. Armory'!CA21+'507 s. Second'!CA21+'901 w. Western'!CA21</f>
        <v>713772.3659</v>
      </c>
      <c r="CC4" s="54">
        <f>'305 e. Daniel'!CB21+'75 e. Armory'!CB21+'507 s. Second'!CB21+'901 w. Western'!CB21</f>
        <v>713772.3659</v>
      </c>
      <c r="CD4" s="54">
        <f>'305 e. Daniel'!CC21+'75 e. Armory'!CC21+'507 s. Second'!CC21+'901 w. Western'!CC21</f>
        <v>713772.3659</v>
      </c>
      <c r="CE4" s="54">
        <f>'305 e. Daniel'!CD21+'75 e. Armory'!CD21+'507 s. Second'!CD21+'901 w. Western'!CD21</f>
        <v>713772.3659</v>
      </c>
      <c r="CF4" s="54">
        <f>'305 e. Daniel'!CE21+'75 e. Armory'!CE21+'507 s. Second'!CE21+'901 w. Western'!CE21</f>
        <v>713772.3659</v>
      </c>
      <c r="CG4" s="54">
        <f>'305 e. Daniel'!CF21+'75 e. Armory'!CF21+'507 s. Second'!CF21+'901 w. Western'!CF21</f>
        <v>713772.3659</v>
      </c>
      <c r="CH4" s="54">
        <f>'305 e. Daniel'!CG21+'75 e. Armory'!CG21+'507 s. Second'!CG21+'901 w. Western'!CG21</f>
        <v>713772.3659</v>
      </c>
      <c r="CI4" s="54">
        <f>'305 e. Daniel'!CH21+'75 e. Armory'!CH21+'507 s. Second'!CH21+'901 w. Western'!CH21</f>
        <v>713772.3659</v>
      </c>
      <c r="CJ4" s="54">
        <f>'305 e. Daniel'!CI21+'75 e. Armory'!CI21+'507 s. Second'!CI21+'901 w. Western'!CI21</f>
        <v>713772.3659</v>
      </c>
      <c r="CK4" s="54">
        <f>'305 e. Daniel'!CJ21+'75 e. Armory'!CJ21+'507 s. Second'!CJ21+'901 w. Western'!CJ21</f>
        <v>735185.5369</v>
      </c>
      <c r="CL4" s="54">
        <f>'305 e. Daniel'!CK21+'75 e. Armory'!CK21+'507 s. Second'!CK21+'901 w. Western'!CK21</f>
        <v>735185.5369</v>
      </c>
      <c r="CM4" s="54">
        <f>'305 e. Daniel'!CL21+'75 e. Armory'!CL21+'507 s. Second'!CL21+'901 w. Western'!CL21</f>
        <v>735185.5369</v>
      </c>
      <c r="CN4" s="54">
        <f>'305 e. Daniel'!CM21+'75 e. Armory'!CM21+'507 s. Second'!CM21+'901 w. Western'!CM21</f>
        <v>735185.5369</v>
      </c>
      <c r="CO4" s="54">
        <f>'305 e. Daniel'!CN21+'75 e. Armory'!CN21+'507 s. Second'!CN21+'901 w. Western'!CN21</f>
        <v>735185.5369</v>
      </c>
      <c r="CP4" s="54">
        <f>'305 e. Daniel'!CO21+'75 e. Armory'!CO21+'507 s. Second'!CO21+'901 w. Western'!CO21</f>
        <v>735185.5369</v>
      </c>
      <c r="CQ4" s="54">
        <f>'305 e. Daniel'!CP21+'75 e. Armory'!CP21+'507 s. Second'!CP21+'901 w. Western'!CP21</f>
        <v>735185.5369</v>
      </c>
      <c r="CR4" s="54">
        <f>'305 e. Daniel'!CQ21+'75 e. Armory'!CQ21+'507 s. Second'!CQ21+'901 w. Western'!CQ21</f>
        <v>735185.5369</v>
      </c>
      <c r="CS4" s="54">
        <f>'305 e. Daniel'!CR21+'75 e. Armory'!CR21+'507 s. Second'!CR21+'901 w. Western'!CR21</f>
        <v>735185.5369</v>
      </c>
      <c r="CT4" s="54">
        <f>'305 e. Daniel'!CS21+'75 e. Armory'!CS21+'507 s. Second'!CS21+'901 w. Western'!CS21</f>
        <v>735185.5369</v>
      </c>
      <c r="CU4" s="54">
        <f>'305 e. Daniel'!CT21+'75 e. Armory'!CT21+'507 s. Second'!CT21+'901 w. Western'!CT21</f>
        <v>735185.5369</v>
      </c>
      <c r="CV4" s="54">
        <f>'305 e. Daniel'!CU21+'75 e. Armory'!CU21+'507 s. Second'!CU21+'901 w. Western'!CU21</f>
        <v>735185.5369</v>
      </c>
      <c r="CW4" s="54">
        <f>'305 e. Daniel'!CV21+'75 e. Armory'!CV21+'507 s. Second'!CV21+'901 w. Western'!CV21</f>
        <v>757241.103</v>
      </c>
      <c r="CX4" s="54">
        <f>'305 e. Daniel'!CW21+'75 e. Armory'!CW21+'507 s. Second'!CW21+'901 w. Western'!CW21</f>
        <v>757241.103</v>
      </c>
      <c r="CY4" s="54">
        <f>'305 e. Daniel'!CX21+'75 e. Armory'!CX21+'507 s. Second'!CX21+'901 w. Western'!CX21</f>
        <v>757241.103</v>
      </c>
      <c r="CZ4" s="54">
        <f>'305 e. Daniel'!CY21+'75 e. Armory'!CY21+'507 s. Second'!CY21+'901 w. Western'!CY21</f>
        <v>757241.103</v>
      </c>
      <c r="DA4" s="54">
        <f>'305 e. Daniel'!CZ21+'75 e. Armory'!CZ21+'507 s. Second'!CZ21+'901 w. Western'!CZ21</f>
        <v>757241.103</v>
      </c>
      <c r="DB4" s="54">
        <f>'305 e. Daniel'!DA21+'75 e. Armory'!DA21+'507 s. Second'!DA21+'901 w. Western'!DA21</f>
        <v>757241.103</v>
      </c>
      <c r="DC4" s="54">
        <f>'305 e. Daniel'!DB21+'75 e. Armory'!DB21+'507 s. Second'!DB21+'901 w. Western'!DB21</f>
        <v>757241.103</v>
      </c>
      <c r="DD4" s="54">
        <f>'305 e. Daniel'!DC21+'75 e. Armory'!DC21+'507 s. Second'!DC21+'901 w. Western'!DC21</f>
        <v>757241.103</v>
      </c>
      <c r="DE4" s="54">
        <f>'305 e. Daniel'!DD21+'75 e. Armory'!DD21+'507 s. Second'!DD21+'901 w. Western'!DD21</f>
        <v>757241.103</v>
      </c>
      <c r="DF4" s="54">
        <f>'305 e. Daniel'!DE21+'75 e. Armory'!DE21+'507 s. Second'!DE21+'901 w. Western'!DE21</f>
        <v>757241.103</v>
      </c>
      <c r="DG4" s="54">
        <f>'305 e. Daniel'!DF21+'75 e. Armory'!DF21+'507 s. Second'!DF21+'901 w. Western'!DF21</f>
        <v>757241.103</v>
      </c>
      <c r="DH4" s="54">
        <f>'305 e. Daniel'!DG21+'75 e. Armory'!DG21+'507 s. Second'!DG21+'901 w. Western'!DG21</f>
        <v>757241.103</v>
      </c>
      <c r="DI4" s="54">
        <f>'305 e. Daniel'!DH21+'75 e. Armory'!DH21+'507 s. Second'!DH21+'901 w. Western'!DH21</f>
        <v>768366.2373</v>
      </c>
      <c r="DJ4" s="54">
        <f>'305 e. Daniel'!DI21+'75 e. Armory'!DI21+'507 s. Second'!DI21+'901 w. Western'!DI21</f>
        <v>768366.2373</v>
      </c>
      <c r="DK4" s="54">
        <f>'305 e. Daniel'!DJ21+'75 e. Armory'!DJ21+'507 s. Second'!DJ21+'901 w. Western'!DJ21</f>
        <v>768366.2373</v>
      </c>
      <c r="DL4" s="54">
        <f>'305 e. Daniel'!DK21+'75 e. Armory'!DK21+'507 s. Second'!DK21+'901 w. Western'!DK21</f>
        <v>768366.2373</v>
      </c>
      <c r="DM4" s="54">
        <f>'305 e. Daniel'!DL21+'75 e. Armory'!DL21+'507 s. Second'!DL21+'901 w. Western'!DL21</f>
        <v>768366.2373</v>
      </c>
      <c r="DN4" s="54">
        <f>'305 e. Daniel'!DM21+'75 e. Armory'!DM21+'507 s. Second'!DM21+'901 w. Western'!DM21</f>
        <v>768366.2373</v>
      </c>
      <c r="DO4" s="54">
        <f>'305 e. Daniel'!DN21+'75 e. Armory'!DN21+'507 s. Second'!DN21+'901 w. Western'!DN21</f>
        <v>768366.2373</v>
      </c>
      <c r="DP4" s="54">
        <f>'305 e. Daniel'!DO21+'75 e. Armory'!DO21+'507 s. Second'!DO21+'901 w. Western'!DO21</f>
        <v>768366.2373</v>
      </c>
      <c r="DQ4" s="54">
        <f>'305 e. Daniel'!DP21+'75 e. Armory'!DP21+'507 s. Second'!DP21+'901 w. Western'!DP21</f>
        <v>768366.2373</v>
      </c>
      <c r="DR4" s="54">
        <f>'305 e. Daniel'!DQ21+'75 e. Armory'!DQ21+'507 s. Second'!DQ21+'901 w. Western'!DQ21</f>
        <v>768366.2373</v>
      </c>
      <c r="DS4" s="54">
        <f>'305 e. Daniel'!DR21+'75 e. Armory'!DR21+'507 s. Second'!DR21+'901 w. Western'!DR21</f>
        <v>768366.2373</v>
      </c>
      <c r="DT4" s="54">
        <f>'305 e. Daniel'!DS21+'75 e. Armory'!DS21+'507 s. Second'!DS21+'901 w. Western'!DS21</f>
        <v>768366.2373</v>
      </c>
      <c r="DU4" s="54">
        <f>'305 e. Daniel'!DT21+'75 e. Armory'!DT21+'507 s. Second'!DT21+'901 w. Western'!DT21</f>
        <v>793810.8588</v>
      </c>
      <c r="DV4" s="54">
        <f>'305 e. Daniel'!DU21+'75 e. Armory'!DU21+'507 s. Second'!DU21+'901 w. Western'!DU21</f>
        <v>793810.8588</v>
      </c>
      <c r="DW4" s="54">
        <f>'305 e. Daniel'!DV21+'75 e. Armory'!DV21+'507 s. Second'!DV21+'901 w. Western'!DV21</f>
        <v>793810.8588</v>
      </c>
      <c r="DX4" s="54">
        <f>'305 e. Daniel'!DW21+'75 e. Armory'!DW21+'507 s. Second'!DW21+'901 w. Western'!DW21</f>
        <v>793810.8588</v>
      </c>
      <c r="DY4" s="54">
        <f>'305 e. Daniel'!DX21+'75 e. Armory'!DX21+'507 s. Second'!DX21+'901 w. Western'!DX21</f>
        <v>793810.8588</v>
      </c>
      <c r="DZ4" s="54">
        <f>'305 e. Daniel'!DY21+'75 e. Armory'!DY21+'507 s. Second'!DY21+'901 w. Western'!DY21</f>
        <v>793810.8588</v>
      </c>
      <c r="EA4" s="54">
        <f>'305 e. Daniel'!DZ21+'75 e. Armory'!DZ21+'507 s. Second'!DZ21+'901 w. Western'!DZ21</f>
        <v>793810.8588</v>
      </c>
      <c r="EB4" s="54">
        <f>'305 e. Daniel'!EA21+'75 e. Armory'!EA21+'507 s. Second'!EA21+'901 w. Western'!EA21</f>
        <v>793810.8588</v>
      </c>
      <c r="EC4" s="54">
        <f>'305 e. Daniel'!EB21+'75 e. Armory'!EB21+'507 s. Second'!EB21+'901 w. Western'!EB21</f>
        <v>793810.8588</v>
      </c>
      <c r="ED4" s="54">
        <f>'305 e. Daniel'!EC21+'75 e. Armory'!EC21+'507 s. Second'!EC21+'901 w. Western'!EC21</f>
        <v>793810.8588</v>
      </c>
      <c r="EE4" s="54">
        <f>'305 e. Daniel'!ED21+'75 e. Armory'!ED21+'507 s. Second'!ED21+'901 w. Western'!ED21</f>
        <v>793810.8588</v>
      </c>
      <c r="EF4" s="54">
        <f>'305 e. Daniel'!EE21+'75 e. Armory'!EE21+'507 s. Second'!EE21+'901 w. Western'!EE21</f>
        <v>793810.8588</v>
      </c>
    </row>
    <row r="5" ht="15.75" customHeight="1">
      <c r="A5" s="1"/>
      <c r="B5" s="1"/>
      <c r="C5" s="1"/>
      <c r="D5" s="1" t="s">
        <v>82</v>
      </c>
      <c r="E5" s="54">
        <f>'305 e. Daniel'!D36+'75 e. Armory'!D36+'507 s. Second'!D36+'901 w. Western'!D36</f>
        <v>-265998.446</v>
      </c>
      <c r="F5" s="54">
        <f>'305 e. Daniel'!E36+'75 e. Armory'!E36+'507 s. Second'!E36+'901 w. Western'!E36</f>
        <v>-265998.446</v>
      </c>
      <c r="G5" s="54">
        <f>'305 e. Daniel'!F36+'75 e. Armory'!F36+'507 s. Second'!F36+'901 w. Western'!F36</f>
        <v>-265998.446</v>
      </c>
      <c r="H5" s="54">
        <f>'305 e. Daniel'!G36+'75 e. Armory'!G36+'507 s. Second'!G36+'901 w. Western'!G36</f>
        <v>-265998.446</v>
      </c>
      <c r="I5" s="54">
        <f>'305 e. Daniel'!H36+'75 e. Armory'!H36+'507 s. Second'!H36+'901 w. Western'!H36</f>
        <v>-265998.446</v>
      </c>
      <c r="J5" s="54">
        <f>'305 e. Daniel'!I36+'75 e. Armory'!I36+'507 s. Second'!I36+'901 w. Western'!I36</f>
        <v>-265998.446</v>
      </c>
      <c r="K5" s="54">
        <f>'305 e. Daniel'!J36+'75 e. Armory'!J36+'507 s. Second'!J36+'901 w. Western'!J36</f>
        <v>-265998.446</v>
      </c>
      <c r="L5" s="54">
        <f>'305 e. Daniel'!K36+'75 e. Armory'!K36+'507 s. Second'!K36+'901 w. Western'!K36</f>
        <v>-265998.446</v>
      </c>
      <c r="M5" s="54">
        <f>'305 e. Daniel'!L36+'75 e. Armory'!L36+'507 s. Second'!L36+'901 w. Western'!L36</f>
        <v>-265998.446</v>
      </c>
      <c r="N5" s="54">
        <f>'305 e. Daniel'!M36+'75 e. Armory'!M36+'507 s. Second'!M36+'901 w. Western'!M36</f>
        <v>-265998.446</v>
      </c>
      <c r="O5" s="54">
        <f>'305 e. Daniel'!N36+'75 e. Armory'!N36+'507 s. Second'!N36+'901 w. Western'!N36</f>
        <v>-265998.446</v>
      </c>
      <c r="P5" s="54">
        <f>'305 e. Daniel'!O36+'75 e. Armory'!O36+'507 s. Second'!O36+'901 w. Western'!O36</f>
        <v>-265998.446</v>
      </c>
      <c r="Q5" s="54">
        <f>'305 e. Daniel'!P36+'75 e. Armory'!P36+'507 s. Second'!P36+'901 w. Western'!P36</f>
        <v>-274472.4184</v>
      </c>
      <c r="R5" s="54">
        <f>'305 e. Daniel'!Q36+'75 e. Armory'!Q36+'507 s. Second'!Q36+'901 w. Western'!Q36</f>
        <v>-274472.4184</v>
      </c>
      <c r="S5" s="54">
        <f>'305 e. Daniel'!R36+'75 e. Armory'!R36+'507 s. Second'!R36+'901 w. Western'!R36</f>
        <v>-274472.4184</v>
      </c>
      <c r="T5" s="54">
        <f>'305 e. Daniel'!S36+'75 e. Armory'!S36+'507 s. Second'!S36+'901 w. Western'!S36</f>
        <v>-274472.4184</v>
      </c>
      <c r="U5" s="54">
        <f>'305 e. Daniel'!T36+'75 e. Armory'!T36+'507 s. Second'!T36+'901 w. Western'!T36</f>
        <v>-274472.4184</v>
      </c>
      <c r="V5" s="54">
        <f>'305 e. Daniel'!U36+'75 e. Armory'!U36+'507 s. Second'!U36+'901 w. Western'!U36</f>
        <v>-274472.4184</v>
      </c>
      <c r="W5" s="54">
        <f>'305 e. Daniel'!V36+'75 e. Armory'!V36+'507 s. Second'!V36+'901 w. Western'!V36</f>
        <v>-274472.4184</v>
      </c>
      <c r="X5" s="54">
        <f>'305 e. Daniel'!W36+'75 e. Armory'!W36+'507 s. Second'!W36+'901 w. Western'!W36</f>
        <v>-274472.4184</v>
      </c>
      <c r="Y5" s="54">
        <f>'305 e. Daniel'!X36+'75 e. Armory'!X36+'507 s. Second'!X36+'901 w. Western'!X36</f>
        <v>-274472.4184</v>
      </c>
      <c r="Z5" s="54">
        <f>'305 e. Daniel'!Y36+'75 e. Armory'!Y36+'507 s. Second'!Y36+'901 w. Western'!Y36</f>
        <v>-274472.4184</v>
      </c>
      <c r="AA5" s="54">
        <f>'305 e. Daniel'!Z36+'75 e. Armory'!Z36+'507 s. Second'!Z36+'901 w. Western'!Z36</f>
        <v>-274472.4184</v>
      </c>
      <c r="AB5" s="54">
        <f>'305 e. Daniel'!AA36+'75 e. Armory'!AA36+'507 s. Second'!AA36+'901 w. Western'!AA36</f>
        <v>-274472.4184</v>
      </c>
      <c r="AC5" s="54">
        <f>'305 e. Daniel'!AB36+'75 e. Armory'!AB36+'507 s. Second'!AB36+'901 w. Western'!AB36</f>
        <v>-282706.5909</v>
      </c>
      <c r="AD5" s="54">
        <f>'305 e. Daniel'!AC36+'75 e. Armory'!AC36+'507 s. Second'!AC36+'901 w. Western'!AC36</f>
        <v>-282706.5909</v>
      </c>
      <c r="AE5" s="54">
        <f>'305 e. Daniel'!AD36+'75 e. Armory'!AD36+'507 s. Second'!AD36+'901 w. Western'!AD36</f>
        <v>-282706.5909</v>
      </c>
      <c r="AF5" s="54">
        <f>'305 e. Daniel'!AE36+'75 e. Armory'!AE36+'507 s. Second'!AE36+'901 w. Western'!AE36</f>
        <v>-282706.5909</v>
      </c>
      <c r="AG5" s="54">
        <f>'305 e. Daniel'!AF36+'75 e. Armory'!AF36+'507 s. Second'!AF36+'901 w. Western'!AF36</f>
        <v>-282706.5909</v>
      </c>
      <c r="AH5" s="54">
        <f>'305 e. Daniel'!AG36+'75 e. Armory'!AG36+'507 s. Second'!AG36+'901 w. Western'!AG36</f>
        <v>-282706.5909</v>
      </c>
      <c r="AI5" s="54">
        <f>'305 e. Daniel'!AH36+'75 e. Armory'!AH36+'507 s. Second'!AH36+'901 w. Western'!AH36</f>
        <v>-282706.5909</v>
      </c>
      <c r="AJ5" s="54">
        <f>'305 e. Daniel'!AI36+'75 e. Armory'!AI36+'507 s. Second'!AI36+'901 w. Western'!AI36</f>
        <v>-282706.5909</v>
      </c>
      <c r="AK5" s="54">
        <f>'305 e. Daniel'!AJ36+'75 e. Armory'!AJ36+'507 s. Second'!AJ36+'901 w. Western'!AJ36</f>
        <v>-282706.5909</v>
      </c>
      <c r="AL5" s="54">
        <f>'305 e. Daniel'!AK36+'75 e. Armory'!AK36+'507 s. Second'!AK36+'901 w. Western'!AK36</f>
        <v>-282706.5909</v>
      </c>
      <c r="AM5" s="54">
        <f>'305 e. Daniel'!AL36+'75 e. Armory'!AL36+'507 s. Second'!AL36+'901 w. Western'!AL36</f>
        <v>-282706.5909</v>
      </c>
      <c r="AN5" s="54">
        <f>'305 e. Daniel'!AM36+'75 e. Armory'!AM36+'507 s. Second'!AM36+'901 w. Western'!AM36</f>
        <v>-282706.5909</v>
      </c>
      <c r="AO5" s="54">
        <f>'305 e. Daniel'!AN36+'75 e. Armory'!AN36+'507 s. Second'!AN36+'901 w. Western'!AN36</f>
        <v>-291187.7886</v>
      </c>
      <c r="AP5" s="54">
        <f>'305 e. Daniel'!AO36+'75 e. Armory'!AO36+'507 s. Second'!AO36+'901 w. Western'!AO36</f>
        <v>-291187.7886</v>
      </c>
      <c r="AQ5" s="54">
        <f>'305 e. Daniel'!AP36+'75 e. Armory'!AP36+'507 s. Second'!AP36+'901 w. Western'!AP36</f>
        <v>-291187.7886</v>
      </c>
      <c r="AR5" s="54">
        <f>'305 e. Daniel'!AQ36+'75 e. Armory'!AQ36+'507 s. Second'!AQ36+'901 w. Western'!AQ36</f>
        <v>-291187.7886</v>
      </c>
      <c r="AS5" s="54">
        <f>'305 e. Daniel'!AR36+'75 e. Armory'!AR36+'507 s. Second'!AR36+'901 w. Western'!AR36</f>
        <v>-291187.7886</v>
      </c>
      <c r="AT5" s="54">
        <f>'305 e. Daniel'!AS36+'75 e. Armory'!AS36+'507 s. Second'!AS36+'901 w. Western'!AS36</f>
        <v>-291187.7886</v>
      </c>
      <c r="AU5" s="54">
        <f>'305 e. Daniel'!AT36+'75 e. Armory'!AT36+'507 s. Second'!AT36+'901 w. Western'!AT36</f>
        <v>-291187.7886</v>
      </c>
      <c r="AV5" s="54">
        <f>'305 e. Daniel'!AU36+'75 e. Armory'!AU36+'507 s. Second'!AU36+'901 w. Western'!AU36</f>
        <v>-291187.7886</v>
      </c>
      <c r="AW5" s="54">
        <f>'305 e. Daniel'!AV36+'75 e. Armory'!AV36+'507 s. Second'!AV36+'901 w. Western'!AV36</f>
        <v>-291187.7886</v>
      </c>
      <c r="AX5" s="54">
        <f>'305 e. Daniel'!AW36+'75 e. Armory'!AW36+'507 s. Second'!AW36+'901 w. Western'!AW36</f>
        <v>-291187.7886</v>
      </c>
      <c r="AY5" s="54">
        <f>'305 e. Daniel'!AX36+'75 e. Armory'!AX36+'507 s. Second'!AX36+'901 w. Western'!AX36</f>
        <v>-291187.7886</v>
      </c>
      <c r="AZ5" s="54">
        <f>'305 e. Daniel'!AY36+'75 e. Armory'!AY36+'507 s. Second'!AY36+'901 w. Western'!AY36</f>
        <v>-291187.7886</v>
      </c>
      <c r="BA5" s="54">
        <f>'305 e. Daniel'!AZ36+'75 e. Armory'!AZ36+'507 s. Second'!AZ36+'901 w. Western'!AZ36</f>
        <v>-299923.4223</v>
      </c>
      <c r="BB5" s="54">
        <f>'305 e. Daniel'!BA36+'75 e. Armory'!BA36+'507 s. Second'!BA36+'901 w. Western'!BA36</f>
        <v>-299923.4223</v>
      </c>
      <c r="BC5" s="54">
        <f>'305 e. Daniel'!BB36+'75 e. Armory'!BB36+'507 s. Second'!BB36+'901 w. Western'!BB36</f>
        <v>-299923.4223</v>
      </c>
      <c r="BD5" s="54">
        <f>'305 e. Daniel'!BC36+'75 e. Armory'!BC36+'507 s. Second'!BC36+'901 w. Western'!BC36</f>
        <v>-299923.4223</v>
      </c>
      <c r="BE5" s="54">
        <f>'305 e. Daniel'!BD36+'75 e. Armory'!BD36+'507 s. Second'!BD36+'901 w. Western'!BD36</f>
        <v>-299923.4223</v>
      </c>
      <c r="BF5" s="54">
        <f>'305 e. Daniel'!BE36+'75 e. Armory'!BE36+'507 s. Second'!BE36+'901 w. Western'!BE36</f>
        <v>-299923.4223</v>
      </c>
      <c r="BG5" s="54">
        <f>'305 e. Daniel'!BF36+'75 e. Armory'!BF36+'507 s. Second'!BF36+'901 w. Western'!BF36</f>
        <v>-299923.4223</v>
      </c>
      <c r="BH5" s="54">
        <f>'305 e. Daniel'!BG36+'75 e. Armory'!BG36+'507 s. Second'!BG36+'901 w. Western'!BG36</f>
        <v>-299923.4223</v>
      </c>
      <c r="BI5" s="54">
        <f>'305 e. Daniel'!BH36+'75 e. Armory'!BH36+'507 s. Second'!BH36+'901 w. Western'!BH36</f>
        <v>-299923.4223</v>
      </c>
      <c r="BJ5" s="54">
        <f>'305 e. Daniel'!BI36+'75 e. Armory'!BI36+'507 s. Second'!BI36+'901 w. Western'!BI36</f>
        <v>-299923.4223</v>
      </c>
      <c r="BK5" s="54">
        <f>'305 e. Daniel'!BJ36+'75 e. Armory'!BJ36+'507 s. Second'!BJ36+'901 w. Western'!BJ36</f>
        <v>-299923.4223</v>
      </c>
      <c r="BL5" s="54">
        <f>'305 e. Daniel'!BK36+'75 e. Armory'!BK36+'507 s. Second'!BK36+'901 w. Western'!BK36</f>
        <v>-299923.4223</v>
      </c>
      <c r="BM5" s="54">
        <f>'305 e. Daniel'!BL36+'75 e. Armory'!BL36+'507 s. Second'!BL36+'901 w. Western'!BL36</f>
        <v>-308921.125</v>
      </c>
      <c r="BN5" s="54">
        <f>'305 e. Daniel'!BM36+'75 e. Armory'!BM36+'507 s. Second'!BM36+'901 w. Western'!BM36</f>
        <v>-308921.125</v>
      </c>
      <c r="BO5" s="54">
        <f>'305 e. Daniel'!BN36+'75 e. Armory'!BN36+'507 s. Second'!BN36+'901 w. Western'!BN36</f>
        <v>-308921.125</v>
      </c>
      <c r="BP5" s="54">
        <f>'305 e. Daniel'!BO36+'75 e. Armory'!BO36+'507 s. Second'!BO36+'901 w. Western'!BO36</f>
        <v>-308921.125</v>
      </c>
      <c r="BQ5" s="54">
        <f>'305 e. Daniel'!BP36+'75 e. Armory'!BP36+'507 s. Second'!BP36+'901 w. Western'!BP36</f>
        <v>-308921.125</v>
      </c>
      <c r="BR5" s="54">
        <f>'305 e. Daniel'!BQ36+'75 e. Armory'!BQ36+'507 s. Second'!BQ36+'901 w. Western'!BQ36</f>
        <v>-308921.125</v>
      </c>
      <c r="BS5" s="54">
        <f>'305 e. Daniel'!BR36+'75 e. Armory'!BR36+'507 s. Second'!BR36+'901 w. Western'!BR36</f>
        <v>-308921.125</v>
      </c>
      <c r="BT5" s="54">
        <f>'305 e. Daniel'!BS36+'75 e. Armory'!BS36+'507 s. Second'!BS36+'901 w. Western'!BS36</f>
        <v>-308921.125</v>
      </c>
      <c r="BU5" s="54">
        <f>'305 e. Daniel'!BT36+'75 e. Armory'!BT36+'507 s. Second'!BT36+'901 w. Western'!BT36</f>
        <v>-308921.125</v>
      </c>
      <c r="BV5" s="54">
        <f>'305 e. Daniel'!BU36+'75 e. Armory'!BU36+'507 s. Second'!BU36+'901 w. Western'!BU36</f>
        <v>-308921.125</v>
      </c>
      <c r="BW5" s="54">
        <f>'305 e. Daniel'!BV36+'75 e. Armory'!BV36+'507 s. Second'!BV36+'901 w. Western'!BV36</f>
        <v>-308921.125</v>
      </c>
      <c r="BX5" s="54">
        <f>'305 e. Daniel'!BW36+'75 e. Armory'!BW36+'507 s. Second'!BW36+'901 w. Western'!BW36</f>
        <v>-308921.125</v>
      </c>
      <c r="BY5" s="54">
        <f>'305 e. Daniel'!BX36+'75 e. Armory'!BX36+'507 s. Second'!BX36+'901 w. Western'!BX36</f>
        <v>-318188.7587</v>
      </c>
      <c r="BZ5" s="54">
        <f>'305 e. Daniel'!BY36+'75 e. Armory'!BY36+'507 s. Second'!BY36+'901 w. Western'!BY36</f>
        <v>-318188.7587</v>
      </c>
      <c r="CA5" s="54">
        <f>'305 e. Daniel'!BZ36+'75 e. Armory'!BZ36+'507 s. Second'!BZ36+'901 w. Western'!BZ36</f>
        <v>-318188.7587</v>
      </c>
      <c r="CB5" s="54">
        <f>'305 e. Daniel'!CA36+'75 e. Armory'!CA36+'507 s. Second'!CA36+'901 w. Western'!CA36</f>
        <v>-318188.7587</v>
      </c>
      <c r="CC5" s="54">
        <f>'305 e. Daniel'!CB36+'75 e. Armory'!CB36+'507 s. Second'!CB36+'901 w. Western'!CB36</f>
        <v>-318188.7587</v>
      </c>
      <c r="CD5" s="54">
        <f>'305 e. Daniel'!CC36+'75 e. Armory'!CC36+'507 s. Second'!CC36+'901 w. Western'!CC36</f>
        <v>-318188.7587</v>
      </c>
      <c r="CE5" s="54">
        <f>'305 e. Daniel'!CD36+'75 e. Armory'!CD36+'507 s. Second'!CD36+'901 w. Western'!CD36</f>
        <v>-318188.7587</v>
      </c>
      <c r="CF5" s="54">
        <f>'305 e. Daniel'!CE36+'75 e. Armory'!CE36+'507 s. Second'!CE36+'901 w. Western'!CE36</f>
        <v>-318188.7587</v>
      </c>
      <c r="CG5" s="54">
        <f>'305 e. Daniel'!CF36+'75 e. Armory'!CF36+'507 s. Second'!CF36+'901 w. Western'!CF36</f>
        <v>-318188.7587</v>
      </c>
      <c r="CH5" s="54">
        <f>'305 e. Daniel'!CG36+'75 e. Armory'!CG36+'507 s. Second'!CG36+'901 w. Western'!CG36</f>
        <v>-318188.7587</v>
      </c>
      <c r="CI5" s="54">
        <f>'305 e. Daniel'!CH36+'75 e. Armory'!CH36+'507 s. Second'!CH36+'901 w. Western'!CH36</f>
        <v>-318188.7587</v>
      </c>
      <c r="CJ5" s="54">
        <f>'305 e. Daniel'!CI36+'75 e. Armory'!CI36+'507 s. Second'!CI36+'901 w. Western'!CI36</f>
        <v>-318188.7587</v>
      </c>
      <c r="CK5" s="54">
        <f>'305 e. Daniel'!CJ36+'75 e. Armory'!CJ36+'507 s. Second'!CJ36+'901 w. Western'!CJ36</f>
        <v>-327734.4215</v>
      </c>
      <c r="CL5" s="54">
        <f>'305 e. Daniel'!CK36+'75 e. Armory'!CK36+'507 s. Second'!CK36+'901 w. Western'!CK36</f>
        <v>-327734.4215</v>
      </c>
      <c r="CM5" s="54">
        <f>'305 e. Daniel'!CL36+'75 e. Armory'!CL36+'507 s. Second'!CL36+'901 w. Western'!CL36</f>
        <v>-327734.4215</v>
      </c>
      <c r="CN5" s="54">
        <f>'305 e. Daniel'!CM36+'75 e. Armory'!CM36+'507 s. Second'!CM36+'901 w. Western'!CM36</f>
        <v>-327734.4215</v>
      </c>
      <c r="CO5" s="54">
        <f>'305 e. Daniel'!CN36+'75 e. Armory'!CN36+'507 s. Second'!CN36+'901 w. Western'!CN36</f>
        <v>-327734.4215</v>
      </c>
      <c r="CP5" s="54">
        <f>'305 e. Daniel'!CO36+'75 e. Armory'!CO36+'507 s. Second'!CO36+'901 w. Western'!CO36</f>
        <v>-327734.4215</v>
      </c>
      <c r="CQ5" s="54">
        <f>'305 e. Daniel'!CP36+'75 e. Armory'!CP36+'507 s. Second'!CP36+'901 w. Western'!CP36</f>
        <v>-327734.4215</v>
      </c>
      <c r="CR5" s="54">
        <f>'305 e. Daniel'!CQ36+'75 e. Armory'!CQ36+'507 s. Second'!CQ36+'901 w. Western'!CQ36</f>
        <v>-327734.4215</v>
      </c>
      <c r="CS5" s="54">
        <f>'305 e. Daniel'!CR36+'75 e. Armory'!CR36+'507 s. Second'!CR36+'901 w. Western'!CR36</f>
        <v>-327734.4215</v>
      </c>
      <c r="CT5" s="54">
        <f>'305 e. Daniel'!CS36+'75 e. Armory'!CS36+'507 s. Second'!CS36+'901 w. Western'!CS36</f>
        <v>-327734.4215</v>
      </c>
      <c r="CU5" s="54">
        <f>'305 e. Daniel'!CT36+'75 e. Armory'!CT36+'507 s. Second'!CT36+'901 w. Western'!CT36</f>
        <v>-327734.4215</v>
      </c>
      <c r="CV5" s="54">
        <f>'305 e. Daniel'!CU36+'75 e. Armory'!CU36+'507 s. Second'!CU36+'901 w. Western'!CU36</f>
        <v>-327734.4215</v>
      </c>
      <c r="CW5" s="54">
        <f>'305 e. Daniel'!CV36+'75 e. Armory'!CV36+'507 s. Second'!CV36+'901 w. Western'!CV36</f>
        <v>-337566.4541</v>
      </c>
      <c r="CX5" s="54">
        <f>'305 e. Daniel'!CW36+'75 e. Armory'!CW36+'507 s. Second'!CW36+'901 w. Western'!CW36</f>
        <v>-337566.4541</v>
      </c>
      <c r="CY5" s="54">
        <f>'305 e. Daniel'!CX36+'75 e. Armory'!CX36+'507 s. Second'!CX36+'901 w. Western'!CX36</f>
        <v>-337566.4541</v>
      </c>
      <c r="CZ5" s="54">
        <f>'305 e. Daniel'!CY36+'75 e. Armory'!CY36+'507 s. Second'!CY36+'901 w. Western'!CY36</f>
        <v>-337566.4541</v>
      </c>
      <c r="DA5" s="54">
        <f>'305 e. Daniel'!CZ36+'75 e. Armory'!CZ36+'507 s. Second'!CZ36+'901 w. Western'!CZ36</f>
        <v>-337566.4541</v>
      </c>
      <c r="DB5" s="54">
        <f>'305 e. Daniel'!DA36+'75 e. Armory'!DA36+'507 s. Second'!DA36+'901 w. Western'!DA36</f>
        <v>-337566.4541</v>
      </c>
      <c r="DC5" s="54">
        <f>'305 e. Daniel'!DB36+'75 e. Armory'!DB36+'507 s. Second'!DB36+'901 w. Western'!DB36</f>
        <v>-337566.4541</v>
      </c>
      <c r="DD5" s="54">
        <f>'305 e. Daniel'!DC36+'75 e. Armory'!DC36+'507 s. Second'!DC36+'901 w. Western'!DC36</f>
        <v>-337566.4541</v>
      </c>
      <c r="DE5" s="54">
        <f>'305 e. Daniel'!DD36+'75 e. Armory'!DD36+'507 s. Second'!DD36+'901 w. Western'!DD36</f>
        <v>-337566.4541</v>
      </c>
      <c r="DF5" s="54">
        <f>'305 e. Daniel'!DE36+'75 e. Armory'!DE36+'507 s. Second'!DE36+'901 w. Western'!DE36</f>
        <v>-337566.4541</v>
      </c>
      <c r="DG5" s="54">
        <f>'305 e. Daniel'!DF36+'75 e. Armory'!DF36+'507 s. Second'!DF36+'901 w. Western'!DF36</f>
        <v>-337566.4541</v>
      </c>
      <c r="DH5" s="54">
        <f>'305 e. Daniel'!DG36+'75 e. Armory'!DG36+'507 s. Second'!DG36+'901 w. Western'!DG36</f>
        <v>-337566.4541</v>
      </c>
      <c r="DI5" s="54">
        <f>'305 e. Daniel'!DH36+'75 e. Armory'!DH36+'507 s. Second'!DH36+'901 w. Western'!DH36</f>
        <v>-347345.6848</v>
      </c>
      <c r="DJ5" s="54">
        <f>'305 e. Daniel'!DI36+'75 e. Armory'!DI36+'507 s. Second'!DI36+'901 w. Western'!DI36</f>
        <v>-347345.6848</v>
      </c>
      <c r="DK5" s="54">
        <f>'305 e. Daniel'!DJ36+'75 e. Armory'!DJ36+'507 s. Second'!DJ36+'901 w. Western'!DJ36</f>
        <v>-347345.6848</v>
      </c>
      <c r="DL5" s="54">
        <f>'305 e. Daniel'!DK36+'75 e. Armory'!DK36+'507 s. Second'!DK36+'901 w. Western'!DK36</f>
        <v>-347345.6848</v>
      </c>
      <c r="DM5" s="54">
        <f>'305 e. Daniel'!DL36+'75 e. Armory'!DL36+'507 s. Second'!DL36+'901 w. Western'!DL36</f>
        <v>-347345.6848</v>
      </c>
      <c r="DN5" s="54">
        <f>'305 e. Daniel'!DM36+'75 e. Armory'!DM36+'507 s. Second'!DM36+'901 w. Western'!DM36</f>
        <v>-347345.6848</v>
      </c>
      <c r="DO5" s="54">
        <f>'305 e. Daniel'!DN36+'75 e. Armory'!DN36+'507 s. Second'!DN36+'901 w. Western'!DN36</f>
        <v>-347345.6848</v>
      </c>
      <c r="DP5" s="54">
        <f>'305 e. Daniel'!DO36+'75 e. Armory'!DO36+'507 s. Second'!DO36+'901 w. Western'!DO36</f>
        <v>-347345.6848</v>
      </c>
      <c r="DQ5" s="54">
        <f>'305 e. Daniel'!DP36+'75 e. Armory'!DP36+'507 s. Second'!DP36+'901 w. Western'!DP36</f>
        <v>-347345.6848</v>
      </c>
      <c r="DR5" s="54">
        <f>'305 e. Daniel'!DQ36+'75 e. Armory'!DQ36+'507 s. Second'!DQ36+'901 w. Western'!DQ36</f>
        <v>-347345.6848</v>
      </c>
      <c r="DS5" s="54">
        <f>'305 e. Daniel'!DR36+'75 e. Armory'!DR36+'507 s. Second'!DR36+'901 w. Western'!DR36</f>
        <v>-347345.6848</v>
      </c>
      <c r="DT5" s="54">
        <f>'305 e. Daniel'!DS36+'75 e. Armory'!DS36+'507 s. Second'!DS36+'901 w. Western'!DS36</f>
        <v>-347345.6848</v>
      </c>
      <c r="DU5" s="54">
        <f>'305 e. Daniel'!DT36+'75 e. Armory'!DT36+'507 s. Second'!DT36+'901 w. Western'!DT36</f>
        <v>-357837.8644</v>
      </c>
      <c r="DV5" s="54">
        <f>'305 e. Daniel'!DU36+'75 e. Armory'!DU36+'507 s. Second'!DU36+'901 w. Western'!DU36</f>
        <v>-357837.8644</v>
      </c>
      <c r="DW5" s="54">
        <f>'305 e. Daniel'!DV36+'75 e. Armory'!DV36+'507 s. Second'!DV36+'901 w. Western'!DV36</f>
        <v>-357837.8644</v>
      </c>
      <c r="DX5" s="54">
        <f>'305 e. Daniel'!DW36+'75 e. Armory'!DW36+'507 s. Second'!DW36+'901 w. Western'!DW36</f>
        <v>-357837.8644</v>
      </c>
      <c r="DY5" s="54">
        <f>'305 e. Daniel'!DX36+'75 e. Armory'!DX36+'507 s. Second'!DX36+'901 w. Western'!DX36</f>
        <v>-357837.8644</v>
      </c>
      <c r="DZ5" s="54">
        <f>'305 e. Daniel'!DY36+'75 e. Armory'!DY36+'507 s. Second'!DY36+'901 w. Western'!DY36</f>
        <v>-357837.8644</v>
      </c>
      <c r="EA5" s="54">
        <f>'305 e. Daniel'!DZ36+'75 e. Armory'!DZ36+'507 s. Second'!DZ36+'901 w. Western'!DZ36</f>
        <v>-357837.8644</v>
      </c>
      <c r="EB5" s="54">
        <f>'305 e. Daniel'!EA36+'75 e. Armory'!EA36+'507 s. Second'!EA36+'901 w. Western'!EA36</f>
        <v>-357837.8644</v>
      </c>
      <c r="EC5" s="54">
        <f>'305 e. Daniel'!EB36+'75 e. Armory'!EB36+'507 s. Second'!EB36+'901 w. Western'!EB36</f>
        <v>-357837.8644</v>
      </c>
      <c r="ED5" s="54">
        <f>'305 e. Daniel'!EC36+'75 e. Armory'!EC36+'507 s. Second'!EC36+'901 w. Western'!EC36</f>
        <v>-357837.8644</v>
      </c>
      <c r="EE5" s="54">
        <f>'305 e. Daniel'!ED36+'75 e. Armory'!ED36+'507 s. Second'!ED36+'901 w. Western'!ED36</f>
        <v>-357837.8644</v>
      </c>
      <c r="EF5" s="54">
        <f>'305 e. Daniel'!EE36+'75 e. Armory'!EE36+'507 s. Second'!EE36+'901 w. Western'!EE36</f>
        <v>-357837.8644</v>
      </c>
    </row>
    <row r="6" ht="15.75" customHeight="1">
      <c r="A6" s="1"/>
      <c r="B6" s="1"/>
      <c r="C6" s="1"/>
      <c r="D6" s="47" t="s">
        <v>83</v>
      </c>
      <c r="E6" s="213">
        <f t="shared" ref="E6:EF6" si="3">SUM(E4:E5)</f>
        <v>293154.3104</v>
      </c>
      <c r="F6" s="213">
        <f t="shared" si="3"/>
        <v>293154.3104</v>
      </c>
      <c r="G6" s="213">
        <f t="shared" si="3"/>
        <v>293154.3104</v>
      </c>
      <c r="H6" s="213">
        <f t="shared" si="3"/>
        <v>293154.3104</v>
      </c>
      <c r="I6" s="213">
        <f t="shared" si="3"/>
        <v>293154.3104</v>
      </c>
      <c r="J6" s="213">
        <f t="shared" si="3"/>
        <v>293154.3104</v>
      </c>
      <c r="K6" s="213">
        <f t="shared" si="3"/>
        <v>293154.3104</v>
      </c>
      <c r="L6" s="213">
        <f t="shared" si="3"/>
        <v>293154.3104</v>
      </c>
      <c r="M6" s="213">
        <f t="shared" si="3"/>
        <v>293154.3104</v>
      </c>
      <c r="N6" s="213">
        <f t="shared" si="3"/>
        <v>293154.3104</v>
      </c>
      <c r="O6" s="213">
        <f t="shared" si="3"/>
        <v>293154.3104</v>
      </c>
      <c r="P6" s="213">
        <f t="shared" si="3"/>
        <v>293154.3104</v>
      </c>
      <c r="Q6" s="213">
        <f t="shared" si="3"/>
        <v>341233.8945</v>
      </c>
      <c r="R6" s="213">
        <f t="shared" si="3"/>
        <v>341233.8945</v>
      </c>
      <c r="S6" s="213">
        <f t="shared" si="3"/>
        <v>341233.8945</v>
      </c>
      <c r="T6" s="213">
        <f t="shared" si="3"/>
        <v>341233.8945</v>
      </c>
      <c r="U6" s="213">
        <f t="shared" si="3"/>
        <v>341233.8945</v>
      </c>
      <c r="V6" s="213">
        <f t="shared" si="3"/>
        <v>341233.8945</v>
      </c>
      <c r="W6" s="213">
        <f t="shared" si="3"/>
        <v>341233.8945</v>
      </c>
      <c r="X6" s="213">
        <f t="shared" si="3"/>
        <v>341233.8945</v>
      </c>
      <c r="Y6" s="213">
        <f t="shared" si="3"/>
        <v>341233.8945</v>
      </c>
      <c r="Z6" s="213">
        <f t="shared" si="3"/>
        <v>341233.8945</v>
      </c>
      <c r="AA6" s="213">
        <f t="shared" si="3"/>
        <v>341233.8945</v>
      </c>
      <c r="AB6" s="213">
        <f t="shared" si="3"/>
        <v>341233.8945</v>
      </c>
      <c r="AC6" s="213">
        <f t="shared" si="3"/>
        <v>351470.9114</v>
      </c>
      <c r="AD6" s="213">
        <f t="shared" si="3"/>
        <v>351470.9114</v>
      </c>
      <c r="AE6" s="213">
        <f t="shared" si="3"/>
        <v>351470.9114</v>
      </c>
      <c r="AF6" s="213">
        <f t="shared" si="3"/>
        <v>351470.9114</v>
      </c>
      <c r="AG6" s="213">
        <f t="shared" si="3"/>
        <v>351470.9114</v>
      </c>
      <c r="AH6" s="213">
        <f t="shared" si="3"/>
        <v>351470.9114</v>
      </c>
      <c r="AI6" s="213">
        <f t="shared" si="3"/>
        <v>351470.9114</v>
      </c>
      <c r="AJ6" s="213">
        <f t="shared" si="3"/>
        <v>351470.9114</v>
      </c>
      <c r="AK6" s="213">
        <f t="shared" si="3"/>
        <v>351470.9114</v>
      </c>
      <c r="AL6" s="213">
        <f t="shared" si="3"/>
        <v>351470.9114</v>
      </c>
      <c r="AM6" s="213">
        <f t="shared" si="3"/>
        <v>351470.9114</v>
      </c>
      <c r="AN6" s="213">
        <f t="shared" si="3"/>
        <v>351470.9114</v>
      </c>
      <c r="AO6" s="213">
        <f t="shared" si="3"/>
        <v>362015.0387</v>
      </c>
      <c r="AP6" s="213">
        <f t="shared" si="3"/>
        <v>362015.0387</v>
      </c>
      <c r="AQ6" s="213">
        <f t="shared" si="3"/>
        <v>362015.0387</v>
      </c>
      <c r="AR6" s="213">
        <f t="shared" si="3"/>
        <v>362015.0387</v>
      </c>
      <c r="AS6" s="213">
        <f t="shared" si="3"/>
        <v>362015.0387</v>
      </c>
      <c r="AT6" s="213">
        <f t="shared" si="3"/>
        <v>362015.0387</v>
      </c>
      <c r="AU6" s="213">
        <f t="shared" si="3"/>
        <v>362015.0387</v>
      </c>
      <c r="AV6" s="213">
        <f t="shared" si="3"/>
        <v>362015.0387</v>
      </c>
      <c r="AW6" s="213">
        <f t="shared" si="3"/>
        <v>362015.0387</v>
      </c>
      <c r="AX6" s="213">
        <f t="shared" si="3"/>
        <v>362015.0387</v>
      </c>
      <c r="AY6" s="213">
        <f t="shared" si="3"/>
        <v>362015.0387</v>
      </c>
      <c r="AZ6" s="213">
        <f t="shared" si="3"/>
        <v>362015.0387</v>
      </c>
      <c r="BA6" s="213">
        <f t="shared" si="3"/>
        <v>372875.4899</v>
      </c>
      <c r="BB6" s="213">
        <f t="shared" si="3"/>
        <v>372875.4899</v>
      </c>
      <c r="BC6" s="213">
        <f t="shared" si="3"/>
        <v>372875.4899</v>
      </c>
      <c r="BD6" s="213">
        <f t="shared" si="3"/>
        <v>372875.4899</v>
      </c>
      <c r="BE6" s="213">
        <f t="shared" si="3"/>
        <v>372875.4899</v>
      </c>
      <c r="BF6" s="213">
        <f t="shared" si="3"/>
        <v>372875.4899</v>
      </c>
      <c r="BG6" s="213">
        <f t="shared" si="3"/>
        <v>372875.4899</v>
      </c>
      <c r="BH6" s="213">
        <f t="shared" si="3"/>
        <v>372875.4899</v>
      </c>
      <c r="BI6" s="213">
        <f t="shared" si="3"/>
        <v>372875.4899</v>
      </c>
      <c r="BJ6" s="213">
        <f t="shared" si="3"/>
        <v>372875.4899</v>
      </c>
      <c r="BK6" s="213">
        <f t="shared" si="3"/>
        <v>372875.4899</v>
      </c>
      <c r="BL6" s="213">
        <f t="shared" si="3"/>
        <v>372875.4899</v>
      </c>
      <c r="BM6" s="213">
        <f t="shared" si="3"/>
        <v>384061.7546</v>
      </c>
      <c r="BN6" s="213">
        <f t="shared" si="3"/>
        <v>384061.7546</v>
      </c>
      <c r="BO6" s="213">
        <f t="shared" si="3"/>
        <v>384061.7546</v>
      </c>
      <c r="BP6" s="213">
        <f t="shared" si="3"/>
        <v>384061.7546</v>
      </c>
      <c r="BQ6" s="213">
        <f t="shared" si="3"/>
        <v>384061.7546</v>
      </c>
      <c r="BR6" s="213">
        <f t="shared" si="3"/>
        <v>384061.7546</v>
      </c>
      <c r="BS6" s="213">
        <f t="shared" si="3"/>
        <v>384061.7546</v>
      </c>
      <c r="BT6" s="213">
        <f t="shared" si="3"/>
        <v>384061.7546</v>
      </c>
      <c r="BU6" s="213">
        <f t="shared" si="3"/>
        <v>384061.7546</v>
      </c>
      <c r="BV6" s="213">
        <f t="shared" si="3"/>
        <v>384061.7546</v>
      </c>
      <c r="BW6" s="213">
        <f t="shared" si="3"/>
        <v>384061.7546</v>
      </c>
      <c r="BX6" s="213">
        <f t="shared" si="3"/>
        <v>384061.7546</v>
      </c>
      <c r="BY6" s="213">
        <f t="shared" si="3"/>
        <v>395583.6072</v>
      </c>
      <c r="BZ6" s="213">
        <f t="shared" si="3"/>
        <v>395583.6072</v>
      </c>
      <c r="CA6" s="213">
        <f t="shared" si="3"/>
        <v>395583.6072</v>
      </c>
      <c r="CB6" s="213">
        <f t="shared" si="3"/>
        <v>395583.6072</v>
      </c>
      <c r="CC6" s="213">
        <f t="shared" si="3"/>
        <v>395583.6072</v>
      </c>
      <c r="CD6" s="213">
        <f t="shared" si="3"/>
        <v>395583.6072</v>
      </c>
      <c r="CE6" s="213">
        <f t="shared" si="3"/>
        <v>395583.6072</v>
      </c>
      <c r="CF6" s="213">
        <f t="shared" si="3"/>
        <v>395583.6072</v>
      </c>
      <c r="CG6" s="213">
        <f t="shared" si="3"/>
        <v>395583.6072</v>
      </c>
      <c r="CH6" s="213">
        <f t="shared" si="3"/>
        <v>395583.6072</v>
      </c>
      <c r="CI6" s="213">
        <f t="shared" si="3"/>
        <v>395583.6072</v>
      </c>
      <c r="CJ6" s="213">
        <f t="shared" si="3"/>
        <v>395583.6072</v>
      </c>
      <c r="CK6" s="213">
        <f t="shared" si="3"/>
        <v>407451.1154</v>
      </c>
      <c r="CL6" s="213">
        <f t="shared" si="3"/>
        <v>407451.1154</v>
      </c>
      <c r="CM6" s="213">
        <f t="shared" si="3"/>
        <v>407451.1154</v>
      </c>
      <c r="CN6" s="213">
        <f t="shared" si="3"/>
        <v>407451.1154</v>
      </c>
      <c r="CO6" s="213">
        <f t="shared" si="3"/>
        <v>407451.1154</v>
      </c>
      <c r="CP6" s="213">
        <f t="shared" si="3"/>
        <v>407451.1154</v>
      </c>
      <c r="CQ6" s="213">
        <f t="shared" si="3"/>
        <v>407451.1154</v>
      </c>
      <c r="CR6" s="213">
        <f t="shared" si="3"/>
        <v>407451.1154</v>
      </c>
      <c r="CS6" s="213">
        <f t="shared" si="3"/>
        <v>407451.1154</v>
      </c>
      <c r="CT6" s="213">
        <f t="shared" si="3"/>
        <v>407451.1154</v>
      </c>
      <c r="CU6" s="213">
        <f t="shared" si="3"/>
        <v>407451.1154</v>
      </c>
      <c r="CV6" s="213">
        <f t="shared" si="3"/>
        <v>407451.1154</v>
      </c>
      <c r="CW6" s="213">
        <f t="shared" si="3"/>
        <v>419674.6489</v>
      </c>
      <c r="CX6" s="213">
        <f t="shared" si="3"/>
        <v>419674.6489</v>
      </c>
      <c r="CY6" s="213">
        <f t="shared" si="3"/>
        <v>419674.6489</v>
      </c>
      <c r="CZ6" s="213">
        <f t="shared" si="3"/>
        <v>419674.6489</v>
      </c>
      <c r="DA6" s="213">
        <f t="shared" si="3"/>
        <v>419674.6489</v>
      </c>
      <c r="DB6" s="213">
        <f t="shared" si="3"/>
        <v>419674.6489</v>
      </c>
      <c r="DC6" s="213">
        <f t="shared" si="3"/>
        <v>419674.6489</v>
      </c>
      <c r="DD6" s="213">
        <f t="shared" si="3"/>
        <v>419674.6489</v>
      </c>
      <c r="DE6" s="213">
        <f t="shared" si="3"/>
        <v>419674.6489</v>
      </c>
      <c r="DF6" s="213">
        <f t="shared" si="3"/>
        <v>419674.6489</v>
      </c>
      <c r="DG6" s="213">
        <f t="shared" si="3"/>
        <v>419674.6489</v>
      </c>
      <c r="DH6" s="213">
        <f t="shared" si="3"/>
        <v>419674.6489</v>
      </c>
      <c r="DI6" s="213">
        <f t="shared" si="3"/>
        <v>421020.5526</v>
      </c>
      <c r="DJ6" s="213">
        <f t="shared" si="3"/>
        <v>421020.5526</v>
      </c>
      <c r="DK6" s="213">
        <f t="shared" si="3"/>
        <v>421020.5526</v>
      </c>
      <c r="DL6" s="213">
        <f t="shared" si="3"/>
        <v>421020.5526</v>
      </c>
      <c r="DM6" s="213">
        <f t="shared" si="3"/>
        <v>421020.5526</v>
      </c>
      <c r="DN6" s="213">
        <f t="shared" si="3"/>
        <v>421020.5526</v>
      </c>
      <c r="DO6" s="213">
        <f t="shared" si="3"/>
        <v>421020.5526</v>
      </c>
      <c r="DP6" s="213">
        <f t="shared" si="3"/>
        <v>421020.5526</v>
      </c>
      <c r="DQ6" s="213">
        <f t="shared" si="3"/>
        <v>421020.5526</v>
      </c>
      <c r="DR6" s="213">
        <f t="shared" si="3"/>
        <v>421020.5526</v>
      </c>
      <c r="DS6" s="213">
        <f t="shared" si="3"/>
        <v>421020.5526</v>
      </c>
      <c r="DT6" s="213">
        <f t="shared" si="3"/>
        <v>421020.5526</v>
      </c>
      <c r="DU6" s="213">
        <f t="shared" si="3"/>
        <v>435972.9944</v>
      </c>
      <c r="DV6" s="213">
        <f t="shared" si="3"/>
        <v>435972.9944</v>
      </c>
      <c r="DW6" s="213">
        <f t="shared" si="3"/>
        <v>435972.9944</v>
      </c>
      <c r="DX6" s="213">
        <f t="shared" si="3"/>
        <v>435972.9944</v>
      </c>
      <c r="DY6" s="213">
        <f t="shared" si="3"/>
        <v>435972.9944</v>
      </c>
      <c r="DZ6" s="213">
        <f t="shared" si="3"/>
        <v>435972.9944</v>
      </c>
      <c r="EA6" s="213">
        <f t="shared" si="3"/>
        <v>435972.9944</v>
      </c>
      <c r="EB6" s="213">
        <f t="shared" si="3"/>
        <v>435972.9944</v>
      </c>
      <c r="EC6" s="213">
        <f t="shared" si="3"/>
        <v>435972.9944</v>
      </c>
      <c r="ED6" s="213">
        <f t="shared" si="3"/>
        <v>435972.9944</v>
      </c>
      <c r="EE6" s="213">
        <f t="shared" si="3"/>
        <v>435972.9944</v>
      </c>
      <c r="EF6" s="213">
        <f t="shared" si="3"/>
        <v>435972.9944</v>
      </c>
    </row>
    <row r="7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</row>
    <row r="8" ht="15.75" customHeight="1">
      <c r="A8" s="1"/>
      <c r="B8" s="1"/>
      <c r="C8" s="40" t="s">
        <v>85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</row>
    <row r="9" ht="15.75" customHeight="1">
      <c r="A9" s="1"/>
      <c r="B9" s="1"/>
      <c r="C9" s="1"/>
      <c r="D9" s="1" t="s">
        <v>171</v>
      </c>
      <c r="E9" s="54">
        <f>D38</f>
        <v>38500000</v>
      </c>
      <c r="F9" s="54">
        <f t="shared" ref="F9:EF9" si="4">E13</f>
        <v>38500000</v>
      </c>
      <c r="G9" s="54">
        <f t="shared" si="4"/>
        <v>38500000</v>
      </c>
      <c r="H9" s="54">
        <f t="shared" si="4"/>
        <v>38500000</v>
      </c>
      <c r="I9" s="54">
        <f t="shared" si="4"/>
        <v>38500000</v>
      </c>
      <c r="J9" s="54">
        <f t="shared" si="4"/>
        <v>38500000</v>
      </c>
      <c r="K9" s="54">
        <f t="shared" si="4"/>
        <v>38500000</v>
      </c>
      <c r="L9" s="54">
        <f t="shared" si="4"/>
        <v>38500000</v>
      </c>
      <c r="M9" s="54">
        <f t="shared" si="4"/>
        <v>38500000</v>
      </c>
      <c r="N9" s="54">
        <f t="shared" si="4"/>
        <v>38500000</v>
      </c>
      <c r="O9" s="54">
        <f t="shared" si="4"/>
        <v>38500000</v>
      </c>
      <c r="P9" s="54">
        <f t="shared" si="4"/>
        <v>38500000</v>
      </c>
      <c r="Q9" s="54">
        <f t="shared" si="4"/>
        <v>38500000</v>
      </c>
      <c r="R9" s="54">
        <f t="shared" si="4"/>
        <v>38500000</v>
      </c>
      <c r="S9" s="54">
        <f t="shared" si="4"/>
        <v>38500000</v>
      </c>
      <c r="T9" s="54">
        <f t="shared" si="4"/>
        <v>38500000</v>
      </c>
      <c r="U9" s="54">
        <f t="shared" si="4"/>
        <v>38500000</v>
      </c>
      <c r="V9" s="54">
        <f t="shared" si="4"/>
        <v>38500000</v>
      </c>
      <c r="W9" s="54">
        <f t="shared" si="4"/>
        <v>38500000</v>
      </c>
      <c r="X9" s="54">
        <f t="shared" si="4"/>
        <v>38500000</v>
      </c>
      <c r="Y9" s="54">
        <f t="shared" si="4"/>
        <v>38500000</v>
      </c>
      <c r="Z9" s="54">
        <f t="shared" si="4"/>
        <v>38500000</v>
      </c>
      <c r="AA9" s="54">
        <f t="shared" si="4"/>
        <v>38500000</v>
      </c>
      <c r="AB9" s="54">
        <f t="shared" si="4"/>
        <v>38500000</v>
      </c>
      <c r="AC9" s="54">
        <f t="shared" si="4"/>
        <v>38500000</v>
      </c>
      <c r="AD9" s="54">
        <f t="shared" si="4"/>
        <v>38500000</v>
      </c>
      <c r="AE9" s="54">
        <f t="shared" si="4"/>
        <v>38500000</v>
      </c>
      <c r="AF9" s="54">
        <f t="shared" si="4"/>
        <v>38500000</v>
      </c>
      <c r="AG9" s="54">
        <f t="shared" si="4"/>
        <v>38500000</v>
      </c>
      <c r="AH9" s="54">
        <f t="shared" si="4"/>
        <v>38500000</v>
      </c>
      <c r="AI9" s="54">
        <f t="shared" si="4"/>
        <v>38500000</v>
      </c>
      <c r="AJ9" s="54">
        <f t="shared" si="4"/>
        <v>38500000</v>
      </c>
      <c r="AK9" s="54">
        <f t="shared" si="4"/>
        <v>38500000</v>
      </c>
      <c r="AL9" s="54">
        <f t="shared" si="4"/>
        <v>38500000</v>
      </c>
      <c r="AM9" s="54">
        <f t="shared" si="4"/>
        <v>38500000</v>
      </c>
      <c r="AN9" s="54">
        <f t="shared" si="4"/>
        <v>38500000</v>
      </c>
      <c r="AO9" s="54">
        <f t="shared" si="4"/>
        <v>38500000</v>
      </c>
      <c r="AP9" s="54">
        <f t="shared" si="4"/>
        <v>38459266.88</v>
      </c>
      <c r="AQ9" s="54">
        <f t="shared" si="4"/>
        <v>38418340.96</v>
      </c>
      <c r="AR9" s="54">
        <f t="shared" si="4"/>
        <v>38377221.33</v>
      </c>
      <c r="AS9" s="54">
        <f t="shared" si="4"/>
        <v>38335907.06</v>
      </c>
      <c r="AT9" s="54">
        <f t="shared" si="4"/>
        <v>38294397.24</v>
      </c>
      <c r="AU9" s="54">
        <f t="shared" si="4"/>
        <v>38252690.93</v>
      </c>
      <c r="AV9" s="54">
        <f t="shared" si="4"/>
        <v>38210787.22</v>
      </c>
      <c r="AW9" s="54">
        <f t="shared" si="4"/>
        <v>38168685.16</v>
      </c>
      <c r="AX9" s="54">
        <f t="shared" si="4"/>
        <v>38126383.83</v>
      </c>
      <c r="AY9" s="54">
        <f t="shared" si="4"/>
        <v>38083882.26</v>
      </c>
      <c r="AZ9" s="54">
        <f t="shared" si="4"/>
        <v>38041179.52</v>
      </c>
      <c r="BA9" s="54">
        <f t="shared" si="4"/>
        <v>37998274.65</v>
      </c>
      <c r="BB9" s="54">
        <f t="shared" si="4"/>
        <v>37955166.7</v>
      </c>
      <c r="BC9" s="54">
        <f t="shared" si="4"/>
        <v>37911854.71</v>
      </c>
      <c r="BD9" s="54">
        <f t="shared" si="4"/>
        <v>37868337.7</v>
      </c>
      <c r="BE9" s="54">
        <f t="shared" si="4"/>
        <v>37824614.72</v>
      </c>
      <c r="BF9" s="54">
        <f t="shared" si="4"/>
        <v>37780684.78</v>
      </c>
      <c r="BG9" s="54">
        <f t="shared" si="4"/>
        <v>37736546.91</v>
      </c>
      <c r="BH9" s="54">
        <f t="shared" si="4"/>
        <v>37692200.11</v>
      </c>
      <c r="BI9" s="54">
        <f t="shared" si="4"/>
        <v>37647643.41</v>
      </c>
      <c r="BJ9" s="54">
        <f t="shared" si="4"/>
        <v>37602875.8</v>
      </c>
      <c r="BK9" s="54">
        <f t="shared" si="4"/>
        <v>37557896.3</v>
      </c>
      <c r="BL9" s="54">
        <f t="shared" si="4"/>
        <v>37512703.89</v>
      </c>
      <c r="BM9" s="54">
        <f t="shared" si="4"/>
        <v>37467297.58</v>
      </c>
      <c r="BN9" s="54">
        <f t="shared" si="4"/>
        <v>37421676.33</v>
      </c>
      <c r="BO9" s="54">
        <f t="shared" si="4"/>
        <v>37375839.15</v>
      </c>
      <c r="BP9" s="54">
        <f t="shared" si="4"/>
        <v>37329785.01</v>
      </c>
      <c r="BQ9" s="54">
        <f t="shared" si="4"/>
        <v>37283512.87</v>
      </c>
      <c r="BR9" s="54">
        <f t="shared" si="4"/>
        <v>37237021.72</v>
      </c>
      <c r="BS9" s="54">
        <f t="shared" si="4"/>
        <v>37190310.51</v>
      </c>
      <c r="BT9" s="54">
        <f t="shared" si="4"/>
        <v>37143378.19</v>
      </c>
      <c r="BU9" s="54">
        <f t="shared" si="4"/>
        <v>37096223.73</v>
      </c>
      <c r="BV9" s="54">
        <f t="shared" si="4"/>
        <v>37048846.08</v>
      </c>
      <c r="BW9" s="54">
        <f t="shared" si="4"/>
        <v>37001244.16</v>
      </c>
      <c r="BX9" s="54">
        <f t="shared" si="4"/>
        <v>36953416.94</v>
      </c>
      <c r="BY9" s="54">
        <f t="shared" si="4"/>
        <v>36905363.33</v>
      </c>
      <c r="BZ9" s="54">
        <f t="shared" si="4"/>
        <v>36857082.26</v>
      </c>
      <c r="CA9" s="54">
        <f t="shared" si="4"/>
        <v>36808572.67</v>
      </c>
      <c r="CB9" s="54">
        <f t="shared" si="4"/>
        <v>36759833.47</v>
      </c>
      <c r="CC9" s="54">
        <f t="shared" si="4"/>
        <v>36710863.56</v>
      </c>
      <c r="CD9" s="54">
        <f t="shared" si="4"/>
        <v>36661661.87</v>
      </c>
      <c r="CE9" s="54">
        <f t="shared" si="4"/>
        <v>36612227.28</v>
      </c>
      <c r="CF9" s="54">
        <f t="shared" si="4"/>
        <v>36562558.71</v>
      </c>
      <c r="CG9" s="54">
        <f t="shared" si="4"/>
        <v>36512655.04</v>
      </c>
      <c r="CH9" s="54">
        <f t="shared" si="4"/>
        <v>36462515.15</v>
      </c>
      <c r="CI9" s="54">
        <f t="shared" si="4"/>
        <v>36412137.94</v>
      </c>
      <c r="CJ9" s="54">
        <f t="shared" si="4"/>
        <v>36361522.28</v>
      </c>
      <c r="CK9" s="54">
        <f t="shared" si="4"/>
        <v>36310667.04</v>
      </c>
      <c r="CL9" s="54">
        <f t="shared" si="4"/>
        <v>36259571.08</v>
      </c>
      <c r="CM9" s="54">
        <f t="shared" si="4"/>
        <v>36208233.26</v>
      </c>
      <c r="CN9" s="54">
        <f t="shared" si="4"/>
        <v>36156652.45</v>
      </c>
      <c r="CO9" s="54">
        <f t="shared" si="4"/>
        <v>36104827.49</v>
      </c>
      <c r="CP9" s="54">
        <f t="shared" si="4"/>
        <v>36052757.22</v>
      </c>
      <c r="CQ9" s="54">
        <f t="shared" si="4"/>
        <v>36000440.49</v>
      </c>
      <c r="CR9" s="54">
        <f t="shared" si="4"/>
        <v>35947876.13</v>
      </c>
      <c r="CS9" s="54">
        <f t="shared" si="4"/>
        <v>35895062.96</v>
      </c>
      <c r="CT9" s="54">
        <f t="shared" si="4"/>
        <v>35841999.81</v>
      </c>
      <c r="CU9" s="54">
        <f t="shared" si="4"/>
        <v>35788685.49</v>
      </c>
      <c r="CV9" s="54">
        <f t="shared" si="4"/>
        <v>35735118.82</v>
      </c>
      <c r="CW9" s="54">
        <f t="shared" si="4"/>
        <v>35681298.6</v>
      </c>
      <c r="CX9" s="54">
        <f t="shared" si="4"/>
        <v>35627223.63</v>
      </c>
      <c r="CY9" s="54">
        <f t="shared" si="4"/>
        <v>35572892.7</v>
      </c>
      <c r="CZ9" s="54">
        <f t="shared" si="4"/>
        <v>35518304.61</v>
      </c>
      <c r="DA9" s="54">
        <f t="shared" si="4"/>
        <v>35463458.14</v>
      </c>
      <c r="DB9" s="54">
        <f t="shared" si="4"/>
        <v>35408352.06</v>
      </c>
      <c r="DC9" s="54">
        <f t="shared" si="4"/>
        <v>35352985.14</v>
      </c>
      <c r="DD9" s="54">
        <f t="shared" si="4"/>
        <v>35297356.15</v>
      </c>
      <c r="DE9" s="54">
        <f t="shared" si="4"/>
        <v>35241463.86</v>
      </c>
      <c r="DF9" s="54">
        <f t="shared" si="4"/>
        <v>35185307</v>
      </c>
      <c r="DG9" s="54">
        <f t="shared" si="4"/>
        <v>35128884.34</v>
      </c>
      <c r="DH9" s="54">
        <f t="shared" si="4"/>
        <v>35072194.61</v>
      </c>
      <c r="DI9" s="54">
        <f t="shared" si="4"/>
        <v>35015236.55</v>
      </c>
      <c r="DJ9" s="54">
        <f t="shared" si="4"/>
        <v>34958008.88</v>
      </c>
      <c r="DK9" s="54">
        <f t="shared" si="4"/>
        <v>34900510.34</v>
      </c>
      <c r="DL9" s="54">
        <f t="shared" si="4"/>
        <v>34842739.64</v>
      </c>
      <c r="DM9" s="54">
        <f t="shared" si="4"/>
        <v>34784695.49</v>
      </c>
      <c r="DN9" s="54">
        <f t="shared" si="4"/>
        <v>34726376.6</v>
      </c>
      <c r="DO9" s="54">
        <f t="shared" si="4"/>
        <v>34667781.67</v>
      </c>
      <c r="DP9" s="54">
        <f t="shared" si="4"/>
        <v>34608909.39</v>
      </c>
      <c r="DQ9" s="54">
        <f t="shared" si="4"/>
        <v>34549758.44</v>
      </c>
      <c r="DR9" s="54">
        <f t="shared" si="4"/>
        <v>34490327.51</v>
      </c>
      <c r="DS9" s="54">
        <f t="shared" si="4"/>
        <v>34430615.28</v>
      </c>
      <c r="DT9" s="54">
        <f t="shared" si="4"/>
        <v>34370620.41</v>
      </c>
      <c r="DU9" s="54">
        <f t="shared" si="4"/>
        <v>34310341.56</v>
      </c>
      <c r="DV9" s="54">
        <f t="shared" si="4"/>
        <v>34249777.4</v>
      </c>
      <c r="DW9" s="54">
        <f t="shared" si="4"/>
        <v>34188926.56</v>
      </c>
      <c r="DX9" s="54">
        <f t="shared" si="4"/>
        <v>34127787.7</v>
      </c>
      <c r="DY9" s="54">
        <f t="shared" si="4"/>
        <v>34066359.44</v>
      </c>
      <c r="DZ9" s="54">
        <f t="shared" si="4"/>
        <v>34004640.43</v>
      </c>
      <c r="EA9" s="54">
        <f t="shared" si="4"/>
        <v>33942629.28</v>
      </c>
      <c r="EB9" s="54">
        <f t="shared" si="4"/>
        <v>33880324.61</v>
      </c>
      <c r="EC9" s="54">
        <f t="shared" si="4"/>
        <v>33817725.03</v>
      </c>
      <c r="ED9" s="54">
        <f t="shared" si="4"/>
        <v>33754829.14</v>
      </c>
      <c r="EE9" s="54">
        <f t="shared" si="4"/>
        <v>33691635.55</v>
      </c>
      <c r="EF9" s="54">
        <f t="shared" si="4"/>
        <v>33628142.84</v>
      </c>
    </row>
    <row r="10" ht="15.75" customHeight="1">
      <c r="A10" s="1"/>
      <c r="B10" s="1"/>
      <c r="C10" s="1"/>
      <c r="D10" s="1" t="s">
        <v>172</v>
      </c>
      <c r="E10" s="137">
        <f t="shared" ref="E10:EF10" si="5">E9*($D$40/12)*IF(E1&gt;$D$43,1,0)</f>
        <v>0</v>
      </c>
      <c r="F10" s="137">
        <f t="shared" si="5"/>
        <v>0</v>
      </c>
      <c r="G10" s="137">
        <f t="shared" si="5"/>
        <v>0</v>
      </c>
      <c r="H10" s="137">
        <f t="shared" si="5"/>
        <v>0</v>
      </c>
      <c r="I10" s="137">
        <f t="shared" si="5"/>
        <v>0</v>
      </c>
      <c r="J10" s="137">
        <f t="shared" si="5"/>
        <v>0</v>
      </c>
      <c r="K10" s="137">
        <f t="shared" si="5"/>
        <v>0</v>
      </c>
      <c r="L10" s="137">
        <f t="shared" si="5"/>
        <v>0</v>
      </c>
      <c r="M10" s="137">
        <f t="shared" si="5"/>
        <v>0</v>
      </c>
      <c r="N10" s="137">
        <f t="shared" si="5"/>
        <v>0</v>
      </c>
      <c r="O10" s="137">
        <f t="shared" si="5"/>
        <v>0</v>
      </c>
      <c r="P10" s="137">
        <f t="shared" si="5"/>
        <v>0</v>
      </c>
      <c r="Q10" s="137">
        <f t="shared" si="5"/>
        <v>0</v>
      </c>
      <c r="R10" s="137">
        <f t="shared" si="5"/>
        <v>0</v>
      </c>
      <c r="S10" s="137">
        <f t="shared" si="5"/>
        <v>0</v>
      </c>
      <c r="T10" s="137">
        <f t="shared" si="5"/>
        <v>0</v>
      </c>
      <c r="U10" s="137">
        <f t="shared" si="5"/>
        <v>0</v>
      </c>
      <c r="V10" s="137">
        <f t="shared" si="5"/>
        <v>0</v>
      </c>
      <c r="W10" s="137">
        <f t="shared" si="5"/>
        <v>0</v>
      </c>
      <c r="X10" s="137">
        <f t="shared" si="5"/>
        <v>0</v>
      </c>
      <c r="Y10" s="137">
        <f t="shared" si="5"/>
        <v>0</v>
      </c>
      <c r="Z10" s="137">
        <f t="shared" si="5"/>
        <v>0</v>
      </c>
      <c r="AA10" s="137">
        <f t="shared" si="5"/>
        <v>0</v>
      </c>
      <c r="AB10" s="137">
        <f t="shared" si="5"/>
        <v>0</v>
      </c>
      <c r="AC10" s="137">
        <f t="shared" si="5"/>
        <v>0</v>
      </c>
      <c r="AD10" s="137">
        <f t="shared" si="5"/>
        <v>0</v>
      </c>
      <c r="AE10" s="137">
        <f t="shared" si="5"/>
        <v>0</v>
      </c>
      <c r="AF10" s="137">
        <f t="shared" si="5"/>
        <v>0</v>
      </c>
      <c r="AG10" s="137">
        <f t="shared" si="5"/>
        <v>0</v>
      </c>
      <c r="AH10" s="137">
        <f t="shared" si="5"/>
        <v>0</v>
      </c>
      <c r="AI10" s="137">
        <f t="shared" si="5"/>
        <v>0</v>
      </c>
      <c r="AJ10" s="137">
        <f t="shared" si="5"/>
        <v>0</v>
      </c>
      <c r="AK10" s="137">
        <f t="shared" si="5"/>
        <v>0</v>
      </c>
      <c r="AL10" s="137">
        <f t="shared" si="5"/>
        <v>0</v>
      </c>
      <c r="AM10" s="137">
        <f t="shared" si="5"/>
        <v>0</v>
      </c>
      <c r="AN10" s="137">
        <f t="shared" si="5"/>
        <v>0</v>
      </c>
      <c r="AO10" s="137">
        <f t="shared" si="5"/>
        <v>182233.3333</v>
      </c>
      <c r="AP10" s="137">
        <f t="shared" si="5"/>
        <v>182040.5299</v>
      </c>
      <c r="AQ10" s="137">
        <f t="shared" si="5"/>
        <v>181846.8139</v>
      </c>
      <c r="AR10" s="137">
        <f t="shared" si="5"/>
        <v>181652.181</v>
      </c>
      <c r="AS10" s="137">
        <f t="shared" si="5"/>
        <v>181456.6267</v>
      </c>
      <c r="AT10" s="137">
        <f t="shared" si="5"/>
        <v>181260.1469</v>
      </c>
      <c r="AU10" s="137">
        <f t="shared" si="5"/>
        <v>181062.7371</v>
      </c>
      <c r="AV10" s="137">
        <f t="shared" si="5"/>
        <v>180864.3928</v>
      </c>
      <c r="AW10" s="137">
        <f t="shared" si="5"/>
        <v>180665.1098</v>
      </c>
      <c r="AX10" s="137">
        <f t="shared" si="5"/>
        <v>180464.8834</v>
      </c>
      <c r="AY10" s="137">
        <f t="shared" si="5"/>
        <v>180263.7094</v>
      </c>
      <c r="AZ10" s="137">
        <f t="shared" si="5"/>
        <v>180061.5831</v>
      </c>
      <c r="BA10" s="137">
        <f t="shared" si="5"/>
        <v>179858.5</v>
      </c>
      <c r="BB10" s="137">
        <f t="shared" si="5"/>
        <v>179654.4557</v>
      </c>
      <c r="BC10" s="137">
        <f t="shared" si="5"/>
        <v>179449.4456</v>
      </c>
      <c r="BD10" s="137">
        <f t="shared" si="5"/>
        <v>179243.4651</v>
      </c>
      <c r="BE10" s="137">
        <f t="shared" si="5"/>
        <v>179036.5097</v>
      </c>
      <c r="BF10" s="137">
        <f t="shared" si="5"/>
        <v>178828.5746</v>
      </c>
      <c r="BG10" s="137">
        <f t="shared" si="5"/>
        <v>178619.6554</v>
      </c>
      <c r="BH10" s="137">
        <f t="shared" si="5"/>
        <v>178409.7472</v>
      </c>
      <c r="BI10" s="137">
        <f t="shared" si="5"/>
        <v>178198.8455</v>
      </c>
      <c r="BJ10" s="137">
        <f t="shared" si="5"/>
        <v>177986.9455</v>
      </c>
      <c r="BK10" s="137">
        <f t="shared" si="5"/>
        <v>177774.0425</v>
      </c>
      <c r="BL10" s="137">
        <f t="shared" si="5"/>
        <v>177560.1318</v>
      </c>
      <c r="BM10" s="137">
        <f t="shared" si="5"/>
        <v>177345.2085</v>
      </c>
      <c r="BN10" s="137">
        <f t="shared" si="5"/>
        <v>177129.268</v>
      </c>
      <c r="BO10" s="137">
        <f t="shared" si="5"/>
        <v>176912.3053</v>
      </c>
      <c r="BP10" s="137">
        <f t="shared" si="5"/>
        <v>176694.3157</v>
      </c>
      <c r="BQ10" s="137">
        <f t="shared" si="5"/>
        <v>176475.2943</v>
      </c>
      <c r="BR10" s="137">
        <f t="shared" si="5"/>
        <v>176255.2361</v>
      </c>
      <c r="BS10" s="137">
        <f t="shared" si="5"/>
        <v>176034.1364</v>
      </c>
      <c r="BT10" s="137">
        <f t="shared" si="5"/>
        <v>175811.9901</v>
      </c>
      <c r="BU10" s="137">
        <f t="shared" si="5"/>
        <v>175588.7923</v>
      </c>
      <c r="BV10" s="137">
        <f t="shared" si="5"/>
        <v>175364.5381</v>
      </c>
      <c r="BW10" s="137">
        <f t="shared" si="5"/>
        <v>175139.2224</v>
      </c>
      <c r="BX10" s="137">
        <f t="shared" si="5"/>
        <v>174912.8402</v>
      </c>
      <c r="BY10" s="137">
        <f t="shared" si="5"/>
        <v>174685.3864</v>
      </c>
      <c r="BZ10" s="137">
        <f t="shared" si="5"/>
        <v>174456.8561</v>
      </c>
      <c r="CA10" s="137">
        <f t="shared" si="5"/>
        <v>174227.244</v>
      </c>
      <c r="CB10" s="137">
        <f t="shared" si="5"/>
        <v>173996.5451</v>
      </c>
      <c r="CC10" s="137">
        <f t="shared" si="5"/>
        <v>173764.7542</v>
      </c>
      <c r="CD10" s="137">
        <f t="shared" si="5"/>
        <v>173531.8662</v>
      </c>
      <c r="CE10" s="137">
        <f t="shared" si="5"/>
        <v>173297.8758</v>
      </c>
      <c r="CF10" s="137">
        <f t="shared" si="5"/>
        <v>173062.7779</v>
      </c>
      <c r="CG10" s="137">
        <f t="shared" si="5"/>
        <v>172826.5672</v>
      </c>
      <c r="CH10" s="137">
        <f t="shared" si="5"/>
        <v>172589.2384</v>
      </c>
      <c r="CI10" s="137">
        <f t="shared" si="5"/>
        <v>172350.7863</v>
      </c>
      <c r="CJ10" s="137">
        <f t="shared" si="5"/>
        <v>172111.2055</v>
      </c>
      <c r="CK10" s="137">
        <f t="shared" si="5"/>
        <v>171870.4906</v>
      </c>
      <c r="CL10" s="137">
        <f t="shared" si="5"/>
        <v>171628.6364</v>
      </c>
      <c r="CM10" s="137">
        <f t="shared" si="5"/>
        <v>171385.6374</v>
      </c>
      <c r="CN10" s="137">
        <f t="shared" si="5"/>
        <v>171141.4883</v>
      </c>
      <c r="CO10" s="137">
        <f t="shared" si="5"/>
        <v>170896.1834</v>
      </c>
      <c r="CP10" s="137">
        <f t="shared" si="5"/>
        <v>170649.7175</v>
      </c>
      <c r="CQ10" s="137">
        <f t="shared" si="5"/>
        <v>170402.085</v>
      </c>
      <c r="CR10" s="137">
        <f t="shared" si="5"/>
        <v>170153.2803</v>
      </c>
      <c r="CS10" s="137">
        <f t="shared" si="5"/>
        <v>169903.298</v>
      </c>
      <c r="CT10" s="137">
        <f t="shared" si="5"/>
        <v>169652.1324</v>
      </c>
      <c r="CU10" s="137">
        <f t="shared" si="5"/>
        <v>169399.778</v>
      </c>
      <c r="CV10" s="137">
        <f t="shared" si="5"/>
        <v>169146.2291</v>
      </c>
      <c r="CW10" s="137">
        <f t="shared" si="5"/>
        <v>168891.48</v>
      </c>
      <c r="CX10" s="137">
        <f t="shared" si="5"/>
        <v>168635.5252</v>
      </c>
      <c r="CY10" s="137">
        <f t="shared" si="5"/>
        <v>168378.3588</v>
      </c>
      <c r="CZ10" s="137">
        <f t="shared" si="5"/>
        <v>168119.9752</v>
      </c>
      <c r="DA10" s="137">
        <f t="shared" si="5"/>
        <v>167860.3685</v>
      </c>
      <c r="DB10" s="137">
        <f t="shared" si="5"/>
        <v>167599.5331</v>
      </c>
      <c r="DC10" s="137">
        <f t="shared" si="5"/>
        <v>167337.463</v>
      </c>
      <c r="DD10" s="137">
        <f t="shared" si="5"/>
        <v>167074.1525</v>
      </c>
      <c r="DE10" s="137">
        <f t="shared" si="5"/>
        <v>166809.5956</v>
      </c>
      <c r="DF10" s="137">
        <f t="shared" si="5"/>
        <v>166543.7865</v>
      </c>
      <c r="DG10" s="137">
        <f t="shared" si="5"/>
        <v>166276.7192</v>
      </c>
      <c r="DH10" s="137">
        <f t="shared" si="5"/>
        <v>166008.3878</v>
      </c>
      <c r="DI10" s="137">
        <f t="shared" si="5"/>
        <v>165738.7863</v>
      </c>
      <c r="DJ10" s="137">
        <f t="shared" si="5"/>
        <v>165467.9087</v>
      </c>
      <c r="DK10" s="137">
        <f t="shared" si="5"/>
        <v>165195.749</v>
      </c>
      <c r="DL10" s="137">
        <f t="shared" si="5"/>
        <v>164922.301</v>
      </c>
      <c r="DM10" s="137">
        <f t="shared" si="5"/>
        <v>164647.5587</v>
      </c>
      <c r="DN10" s="137">
        <f t="shared" si="5"/>
        <v>164371.5159</v>
      </c>
      <c r="DO10" s="137">
        <f t="shared" si="5"/>
        <v>164094.1666</v>
      </c>
      <c r="DP10" s="137">
        <f t="shared" si="5"/>
        <v>163815.5044</v>
      </c>
      <c r="DQ10" s="137">
        <f t="shared" si="5"/>
        <v>163535.5233</v>
      </c>
      <c r="DR10" s="137">
        <f t="shared" si="5"/>
        <v>163254.2169</v>
      </c>
      <c r="DS10" s="137">
        <f t="shared" si="5"/>
        <v>162971.579</v>
      </c>
      <c r="DT10" s="137">
        <f t="shared" si="5"/>
        <v>162687.6033</v>
      </c>
      <c r="DU10" s="137">
        <f t="shared" si="5"/>
        <v>162402.2834</v>
      </c>
      <c r="DV10" s="137">
        <f t="shared" si="5"/>
        <v>162115.613</v>
      </c>
      <c r="DW10" s="137">
        <f t="shared" si="5"/>
        <v>161827.5857</v>
      </c>
      <c r="DX10" s="137">
        <f t="shared" si="5"/>
        <v>161538.1951</v>
      </c>
      <c r="DY10" s="137">
        <f t="shared" si="5"/>
        <v>161247.4347</v>
      </c>
      <c r="DZ10" s="137">
        <f t="shared" si="5"/>
        <v>160955.298</v>
      </c>
      <c r="EA10" s="137">
        <f t="shared" si="5"/>
        <v>160661.7786</v>
      </c>
      <c r="EB10" s="137">
        <f t="shared" si="5"/>
        <v>160366.8698</v>
      </c>
      <c r="EC10" s="137">
        <f t="shared" si="5"/>
        <v>160070.5651</v>
      </c>
      <c r="ED10" s="137">
        <f t="shared" si="5"/>
        <v>159772.8579</v>
      </c>
      <c r="EE10" s="137">
        <f t="shared" si="5"/>
        <v>159473.7416</v>
      </c>
      <c r="EF10" s="137">
        <f t="shared" si="5"/>
        <v>159173.2094</v>
      </c>
    </row>
    <row r="11" ht="15.75" customHeight="1">
      <c r="A11" s="1"/>
      <c r="B11" s="1"/>
      <c r="C11" s="1"/>
      <c r="D11" s="1" t="s">
        <v>196</v>
      </c>
      <c r="E11" s="137">
        <f t="shared" ref="E11:EF11" si="6">E12-E10</f>
        <v>0</v>
      </c>
      <c r="F11" s="137">
        <f t="shared" si="6"/>
        <v>0</v>
      </c>
      <c r="G11" s="137">
        <f t="shared" si="6"/>
        <v>0</v>
      </c>
      <c r="H11" s="137">
        <f t="shared" si="6"/>
        <v>0</v>
      </c>
      <c r="I11" s="137">
        <f t="shared" si="6"/>
        <v>0</v>
      </c>
      <c r="J11" s="137">
        <f t="shared" si="6"/>
        <v>0</v>
      </c>
      <c r="K11" s="137">
        <f t="shared" si="6"/>
        <v>0</v>
      </c>
      <c r="L11" s="137">
        <f t="shared" si="6"/>
        <v>0</v>
      </c>
      <c r="M11" s="137">
        <f t="shared" si="6"/>
        <v>0</v>
      </c>
      <c r="N11" s="137">
        <f t="shared" si="6"/>
        <v>0</v>
      </c>
      <c r="O11" s="137">
        <f t="shared" si="6"/>
        <v>0</v>
      </c>
      <c r="P11" s="137">
        <f t="shared" si="6"/>
        <v>0</v>
      </c>
      <c r="Q11" s="137">
        <f t="shared" si="6"/>
        <v>0</v>
      </c>
      <c r="R11" s="137">
        <f t="shared" si="6"/>
        <v>0</v>
      </c>
      <c r="S11" s="137">
        <f t="shared" si="6"/>
        <v>0</v>
      </c>
      <c r="T11" s="137">
        <f t="shared" si="6"/>
        <v>0</v>
      </c>
      <c r="U11" s="137">
        <f t="shared" si="6"/>
        <v>0</v>
      </c>
      <c r="V11" s="137">
        <f t="shared" si="6"/>
        <v>0</v>
      </c>
      <c r="W11" s="137">
        <f t="shared" si="6"/>
        <v>0</v>
      </c>
      <c r="X11" s="137">
        <f t="shared" si="6"/>
        <v>0</v>
      </c>
      <c r="Y11" s="137">
        <f t="shared" si="6"/>
        <v>0</v>
      </c>
      <c r="Z11" s="137">
        <f t="shared" si="6"/>
        <v>0</v>
      </c>
      <c r="AA11" s="137">
        <f t="shared" si="6"/>
        <v>0</v>
      </c>
      <c r="AB11" s="137">
        <f t="shared" si="6"/>
        <v>0</v>
      </c>
      <c r="AC11" s="137">
        <f t="shared" si="6"/>
        <v>0</v>
      </c>
      <c r="AD11" s="137">
        <f t="shared" si="6"/>
        <v>0</v>
      </c>
      <c r="AE11" s="137">
        <f t="shared" si="6"/>
        <v>0</v>
      </c>
      <c r="AF11" s="137">
        <f t="shared" si="6"/>
        <v>0</v>
      </c>
      <c r="AG11" s="137">
        <f t="shared" si="6"/>
        <v>0</v>
      </c>
      <c r="AH11" s="137">
        <f t="shared" si="6"/>
        <v>0</v>
      </c>
      <c r="AI11" s="137">
        <f t="shared" si="6"/>
        <v>0</v>
      </c>
      <c r="AJ11" s="137">
        <f t="shared" si="6"/>
        <v>0</v>
      </c>
      <c r="AK11" s="137">
        <f t="shared" si="6"/>
        <v>0</v>
      </c>
      <c r="AL11" s="137">
        <f t="shared" si="6"/>
        <v>0</v>
      </c>
      <c r="AM11" s="137">
        <f t="shared" si="6"/>
        <v>0</v>
      </c>
      <c r="AN11" s="137">
        <f t="shared" si="6"/>
        <v>0</v>
      </c>
      <c r="AO11" s="137">
        <f t="shared" si="6"/>
        <v>40733.11627</v>
      </c>
      <c r="AP11" s="137">
        <f t="shared" si="6"/>
        <v>40925.91969</v>
      </c>
      <c r="AQ11" s="137">
        <f t="shared" si="6"/>
        <v>41119.63571</v>
      </c>
      <c r="AR11" s="137">
        <f t="shared" si="6"/>
        <v>41314.26865</v>
      </c>
      <c r="AS11" s="137">
        <f t="shared" si="6"/>
        <v>41509.82286</v>
      </c>
      <c r="AT11" s="137">
        <f t="shared" si="6"/>
        <v>41706.30268</v>
      </c>
      <c r="AU11" s="137">
        <f t="shared" si="6"/>
        <v>41903.71252</v>
      </c>
      <c r="AV11" s="137">
        <f t="shared" si="6"/>
        <v>42102.05676</v>
      </c>
      <c r="AW11" s="137">
        <f t="shared" si="6"/>
        <v>42301.33983</v>
      </c>
      <c r="AX11" s="137">
        <f t="shared" si="6"/>
        <v>42501.56617</v>
      </c>
      <c r="AY11" s="137">
        <f t="shared" si="6"/>
        <v>42702.74025</v>
      </c>
      <c r="AZ11" s="137">
        <f t="shared" si="6"/>
        <v>42904.86655</v>
      </c>
      <c r="BA11" s="137">
        <f t="shared" si="6"/>
        <v>43107.94959</v>
      </c>
      <c r="BB11" s="137">
        <f t="shared" si="6"/>
        <v>43311.99388</v>
      </c>
      <c r="BC11" s="137">
        <f t="shared" si="6"/>
        <v>43517.00398</v>
      </c>
      <c r="BD11" s="137">
        <f t="shared" si="6"/>
        <v>43722.98447</v>
      </c>
      <c r="BE11" s="137">
        <f t="shared" si="6"/>
        <v>43929.93993</v>
      </c>
      <c r="BF11" s="137">
        <f t="shared" si="6"/>
        <v>44137.87498</v>
      </c>
      <c r="BG11" s="137">
        <f t="shared" si="6"/>
        <v>44346.79425</v>
      </c>
      <c r="BH11" s="137">
        <f t="shared" si="6"/>
        <v>44556.70241</v>
      </c>
      <c r="BI11" s="137">
        <f t="shared" si="6"/>
        <v>44767.60414</v>
      </c>
      <c r="BJ11" s="137">
        <f t="shared" si="6"/>
        <v>44979.50413</v>
      </c>
      <c r="BK11" s="137">
        <f t="shared" si="6"/>
        <v>45192.40712</v>
      </c>
      <c r="BL11" s="137">
        <f t="shared" si="6"/>
        <v>45406.31784</v>
      </c>
      <c r="BM11" s="137">
        <f t="shared" si="6"/>
        <v>45621.24108</v>
      </c>
      <c r="BN11" s="137">
        <f t="shared" si="6"/>
        <v>45837.18162</v>
      </c>
      <c r="BO11" s="137">
        <f t="shared" si="6"/>
        <v>46054.14428</v>
      </c>
      <c r="BP11" s="137">
        <f t="shared" si="6"/>
        <v>46272.1339</v>
      </c>
      <c r="BQ11" s="137">
        <f t="shared" si="6"/>
        <v>46491.15533</v>
      </c>
      <c r="BR11" s="137">
        <f t="shared" si="6"/>
        <v>46711.21347</v>
      </c>
      <c r="BS11" s="137">
        <f t="shared" si="6"/>
        <v>46932.31321</v>
      </c>
      <c r="BT11" s="137">
        <f t="shared" si="6"/>
        <v>47154.45949</v>
      </c>
      <c r="BU11" s="137">
        <f t="shared" si="6"/>
        <v>47377.65727</v>
      </c>
      <c r="BV11" s="137">
        <f t="shared" si="6"/>
        <v>47601.91151</v>
      </c>
      <c r="BW11" s="137">
        <f t="shared" si="6"/>
        <v>47827.22723</v>
      </c>
      <c r="BX11" s="137">
        <f t="shared" si="6"/>
        <v>48053.60944</v>
      </c>
      <c r="BY11" s="137">
        <f t="shared" si="6"/>
        <v>48281.06319</v>
      </c>
      <c r="BZ11" s="137">
        <f t="shared" si="6"/>
        <v>48509.59355</v>
      </c>
      <c r="CA11" s="137">
        <f t="shared" si="6"/>
        <v>48739.20563</v>
      </c>
      <c r="CB11" s="137">
        <f t="shared" si="6"/>
        <v>48969.90454</v>
      </c>
      <c r="CC11" s="137">
        <f t="shared" si="6"/>
        <v>49201.69542</v>
      </c>
      <c r="CD11" s="137">
        <f t="shared" si="6"/>
        <v>49434.58344</v>
      </c>
      <c r="CE11" s="137">
        <f t="shared" si="6"/>
        <v>49668.57381</v>
      </c>
      <c r="CF11" s="137">
        <f t="shared" si="6"/>
        <v>49903.67172</v>
      </c>
      <c r="CG11" s="137">
        <f t="shared" si="6"/>
        <v>50139.88243</v>
      </c>
      <c r="CH11" s="137">
        <f t="shared" si="6"/>
        <v>50377.21121</v>
      </c>
      <c r="CI11" s="137">
        <f t="shared" si="6"/>
        <v>50615.66334</v>
      </c>
      <c r="CJ11" s="137">
        <f t="shared" si="6"/>
        <v>50855.24415</v>
      </c>
      <c r="CK11" s="137">
        <f t="shared" si="6"/>
        <v>51095.95897</v>
      </c>
      <c r="CL11" s="137">
        <f t="shared" si="6"/>
        <v>51337.81318</v>
      </c>
      <c r="CM11" s="137">
        <f t="shared" si="6"/>
        <v>51580.81216</v>
      </c>
      <c r="CN11" s="137">
        <f t="shared" si="6"/>
        <v>51824.96134</v>
      </c>
      <c r="CO11" s="137">
        <f t="shared" si="6"/>
        <v>52070.26616</v>
      </c>
      <c r="CP11" s="137">
        <f t="shared" si="6"/>
        <v>52316.73208</v>
      </c>
      <c r="CQ11" s="137">
        <f t="shared" si="6"/>
        <v>52564.36461</v>
      </c>
      <c r="CR11" s="137">
        <f t="shared" si="6"/>
        <v>52813.16927</v>
      </c>
      <c r="CS11" s="137">
        <f t="shared" si="6"/>
        <v>53063.15161</v>
      </c>
      <c r="CT11" s="137">
        <f t="shared" si="6"/>
        <v>53314.31719</v>
      </c>
      <c r="CU11" s="137">
        <f t="shared" si="6"/>
        <v>53566.67163</v>
      </c>
      <c r="CV11" s="137">
        <f t="shared" si="6"/>
        <v>53820.22054</v>
      </c>
      <c r="CW11" s="137">
        <f t="shared" si="6"/>
        <v>54074.96958</v>
      </c>
      <c r="CX11" s="137">
        <f t="shared" si="6"/>
        <v>54330.92444</v>
      </c>
      <c r="CY11" s="137">
        <f t="shared" si="6"/>
        <v>54588.09081</v>
      </c>
      <c r="CZ11" s="137">
        <f t="shared" si="6"/>
        <v>54846.47444</v>
      </c>
      <c r="DA11" s="137">
        <f t="shared" si="6"/>
        <v>55106.08109</v>
      </c>
      <c r="DB11" s="137">
        <f t="shared" si="6"/>
        <v>55366.91654</v>
      </c>
      <c r="DC11" s="137">
        <f t="shared" si="6"/>
        <v>55628.98661</v>
      </c>
      <c r="DD11" s="137">
        <f t="shared" si="6"/>
        <v>55892.29715</v>
      </c>
      <c r="DE11" s="137">
        <f t="shared" si="6"/>
        <v>56156.85402</v>
      </c>
      <c r="DF11" s="137">
        <f t="shared" si="6"/>
        <v>56422.66313</v>
      </c>
      <c r="DG11" s="137">
        <f t="shared" si="6"/>
        <v>56689.7304</v>
      </c>
      <c r="DH11" s="137">
        <f t="shared" si="6"/>
        <v>56958.06179</v>
      </c>
      <c r="DI11" s="137">
        <f t="shared" si="6"/>
        <v>57227.66329</v>
      </c>
      <c r="DJ11" s="137">
        <f t="shared" si="6"/>
        <v>57498.54089</v>
      </c>
      <c r="DK11" s="137">
        <f t="shared" si="6"/>
        <v>57770.70065</v>
      </c>
      <c r="DL11" s="137">
        <f t="shared" si="6"/>
        <v>58044.14864</v>
      </c>
      <c r="DM11" s="137">
        <f t="shared" si="6"/>
        <v>58318.89094</v>
      </c>
      <c r="DN11" s="137">
        <f t="shared" si="6"/>
        <v>58594.93369</v>
      </c>
      <c r="DO11" s="137">
        <f t="shared" si="6"/>
        <v>58872.28304</v>
      </c>
      <c r="DP11" s="137">
        <f t="shared" si="6"/>
        <v>59150.94518</v>
      </c>
      <c r="DQ11" s="137">
        <f t="shared" si="6"/>
        <v>59430.92632</v>
      </c>
      <c r="DR11" s="137">
        <f t="shared" si="6"/>
        <v>59712.23271</v>
      </c>
      <c r="DS11" s="137">
        <f t="shared" si="6"/>
        <v>59994.87061</v>
      </c>
      <c r="DT11" s="137">
        <f t="shared" si="6"/>
        <v>60278.84633</v>
      </c>
      <c r="DU11" s="137">
        <f t="shared" si="6"/>
        <v>60564.1662</v>
      </c>
      <c r="DV11" s="137">
        <f t="shared" si="6"/>
        <v>60850.83659</v>
      </c>
      <c r="DW11" s="137">
        <f t="shared" si="6"/>
        <v>61138.86388</v>
      </c>
      <c r="DX11" s="137">
        <f t="shared" si="6"/>
        <v>61428.2545</v>
      </c>
      <c r="DY11" s="137">
        <f t="shared" si="6"/>
        <v>61719.01491</v>
      </c>
      <c r="DZ11" s="137">
        <f t="shared" si="6"/>
        <v>62011.15158</v>
      </c>
      <c r="EA11" s="137">
        <f t="shared" si="6"/>
        <v>62304.67103</v>
      </c>
      <c r="EB11" s="137">
        <f t="shared" si="6"/>
        <v>62599.57981</v>
      </c>
      <c r="EC11" s="137">
        <f t="shared" si="6"/>
        <v>62895.88448</v>
      </c>
      <c r="ED11" s="137">
        <f t="shared" si="6"/>
        <v>63193.59167</v>
      </c>
      <c r="EE11" s="137">
        <f t="shared" si="6"/>
        <v>63492.70801</v>
      </c>
      <c r="EF11" s="137">
        <f t="shared" si="6"/>
        <v>63793.24016</v>
      </c>
    </row>
    <row r="12" ht="15.75" customHeight="1">
      <c r="A12" s="1"/>
      <c r="B12" s="1"/>
      <c r="C12" s="1"/>
      <c r="D12" s="1" t="s">
        <v>197</v>
      </c>
      <c r="E12" s="54">
        <f t="shared" ref="E12:EF12" si="7">-PMT($D$40/12,$D$41*12,$D$38)*IF(E1&gt;$D$43,1,0)</f>
        <v>0</v>
      </c>
      <c r="F12" s="54">
        <f t="shared" si="7"/>
        <v>0</v>
      </c>
      <c r="G12" s="54">
        <f t="shared" si="7"/>
        <v>0</v>
      </c>
      <c r="H12" s="54">
        <f t="shared" si="7"/>
        <v>0</v>
      </c>
      <c r="I12" s="54">
        <f t="shared" si="7"/>
        <v>0</v>
      </c>
      <c r="J12" s="54">
        <f t="shared" si="7"/>
        <v>0</v>
      </c>
      <c r="K12" s="54">
        <f t="shared" si="7"/>
        <v>0</v>
      </c>
      <c r="L12" s="54">
        <f t="shared" si="7"/>
        <v>0</v>
      </c>
      <c r="M12" s="54">
        <f t="shared" si="7"/>
        <v>0</v>
      </c>
      <c r="N12" s="54">
        <f t="shared" si="7"/>
        <v>0</v>
      </c>
      <c r="O12" s="54">
        <f t="shared" si="7"/>
        <v>0</v>
      </c>
      <c r="P12" s="54">
        <f t="shared" si="7"/>
        <v>0</v>
      </c>
      <c r="Q12" s="54">
        <f t="shared" si="7"/>
        <v>0</v>
      </c>
      <c r="R12" s="54">
        <f t="shared" si="7"/>
        <v>0</v>
      </c>
      <c r="S12" s="54">
        <f t="shared" si="7"/>
        <v>0</v>
      </c>
      <c r="T12" s="54">
        <f t="shared" si="7"/>
        <v>0</v>
      </c>
      <c r="U12" s="54">
        <f t="shared" si="7"/>
        <v>0</v>
      </c>
      <c r="V12" s="54">
        <f t="shared" si="7"/>
        <v>0</v>
      </c>
      <c r="W12" s="54">
        <f t="shared" si="7"/>
        <v>0</v>
      </c>
      <c r="X12" s="54">
        <f t="shared" si="7"/>
        <v>0</v>
      </c>
      <c r="Y12" s="54">
        <f t="shared" si="7"/>
        <v>0</v>
      </c>
      <c r="Z12" s="54">
        <f t="shared" si="7"/>
        <v>0</v>
      </c>
      <c r="AA12" s="54">
        <f t="shared" si="7"/>
        <v>0</v>
      </c>
      <c r="AB12" s="54">
        <f t="shared" si="7"/>
        <v>0</v>
      </c>
      <c r="AC12" s="54">
        <f t="shared" si="7"/>
        <v>0</v>
      </c>
      <c r="AD12" s="54">
        <f t="shared" si="7"/>
        <v>0</v>
      </c>
      <c r="AE12" s="54">
        <f t="shared" si="7"/>
        <v>0</v>
      </c>
      <c r="AF12" s="54">
        <f t="shared" si="7"/>
        <v>0</v>
      </c>
      <c r="AG12" s="54">
        <f t="shared" si="7"/>
        <v>0</v>
      </c>
      <c r="AH12" s="54">
        <f t="shared" si="7"/>
        <v>0</v>
      </c>
      <c r="AI12" s="54">
        <f t="shared" si="7"/>
        <v>0</v>
      </c>
      <c r="AJ12" s="54">
        <f t="shared" si="7"/>
        <v>0</v>
      </c>
      <c r="AK12" s="54">
        <f t="shared" si="7"/>
        <v>0</v>
      </c>
      <c r="AL12" s="54">
        <f t="shared" si="7"/>
        <v>0</v>
      </c>
      <c r="AM12" s="54">
        <f t="shared" si="7"/>
        <v>0</v>
      </c>
      <c r="AN12" s="54">
        <f t="shared" si="7"/>
        <v>0</v>
      </c>
      <c r="AO12" s="54">
        <f t="shared" si="7"/>
        <v>222966.4496</v>
      </c>
      <c r="AP12" s="54">
        <f t="shared" si="7"/>
        <v>222966.4496</v>
      </c>
      <c r="AQ12" s="54">
        <f t="shared" si="7"/>
        <v>222966.4496</v>
      </c>
      <c r="AR12" s="54">
        <f t="shared" si="7"/>
        <v>222966.4496</v>
      </c>
      <c r="AS12" s="54">
        <f t="shared" si="7"/>
        <v>222966.4496</v>
      </c>
      <c r="AT12" s="54">
        <f t="shared" si="7"/>
        <v>222966.4496</v>
      </c>
      <c r="AU12" s="54">
        <f t="shared" si="7"/>
        <v>222966.4496</v>
      </c>
      <c r="AV12" s="54">
        <f t="shared" si="7"/>
        <v>222966.4496</v>
      </c>
      <c r="AW12" s="54">
        <f t="shared" si="7"/>
        <v>222966.4496</v>
      </c>
      <c r="AX12" s="54">
        <f t="shared" si="7"/>
        <v>222966.4496</v>
      </c>
      <c r="AY12" s="54">
        <f t="shared" si="7"/>
        <v>222966.4496</v>
      </c>
      <c r="AZ12" s="54">
        <f t="shared" si="7"/>
        <v>222966.4496</v>
      </c>
      <c r="BA12" s="54">
        <f t="shared" si="7"/>
        <v>222966.4496</v>
      </c>
      <c r="BB12" s="54">
        <f t="shared" si="7"/>
        <v>222966.4496</v>
      </c>
      <c r="BC12" s="54">
        <f t="shared" si="7"/>
        <v>222966.4496</v>
      </c>
      <c r="BD12" s="54">
        <f t="shared" si="7"/>
        <v>222966.4496</v>
      </c>
      <c r="BE12" s="54">
        <f t="shared" si="7"/>
        <v>222966.4496</v>
      </c>
      <c r="BF12" s="54">
        <f t="shared" si="7"/>
        <v>222966.4496</v>
      </c>
      <c r="BG12" s="54">
        <f t="shared" si="7"/>
        <v>222966.4496</v>
      </c>
      <c r="BH12" s="54">
        <f t="shared" si="7"/>
        <v>222966.4496</v>
      </c>
      <c r="BI12" s="54">
        <f t="shared" si="7"/>
        <v>222966.4496</v>
      </c>
      <c r="BJ12" s="54">
        <f t="shared" si="7"/>
        <v>222966.4496</v>
      </c>
      <c r="BK12" s="54">
        <f t="shared" si="7"/>
        <v>222966.4496</v>
      </c>
      <c r="BL12" s="54">
        <f t="shared" si="7"/>
        <v>222966.4496</v>
      </c>
      <c r="BM12" s="54">
        <f t="shared" si="7"/>
        <v>222966.4496</v>
      </c>
      <c r="BN12" s="54">
        <f t="shared" si="7"/>
        <v>222966.4496</v>
      </c>
      <c r="BO12" s="54">
        <f t="shared" si="7"/>
        <v>222966.4496</v>
      </c>
      <c r="BP12" s="54">
        <f t="shared" si="7"/>
        <v>222966.4496</v>
      </c>
      <c r="BQ12" s="54">
        <f t="shared" si="7"/>
        <v>222966.4496</v>
      </c>
      <c r="BR12" s="54">
        <f t="shared" si="7"/>
        <v>222966.4496</v>
      </c>
      <c r="BS12" s="54">
        <f t="shared" si="7"/>
        <v>222966.4496</v>
      </c>
      <c r="BT12" s="54">
        <f t="shared" si="7"/>
        <v>222966.4496</v>
      </c>
      <c r="BU12" s="54">
        <f t="shared" si="7"/>
        <v>222966.4496</v>
      </c>
      <c r="BV12" s="54">
        <f t="shared" si="7"/>
        <v>222966.4496</v>
      </c>
      <c r="BW12" s="54">
        <f t="shared" si="7"/>
        <v>222966.4496</v>
      </c>
      <c r="BX12" s="54">
        <f t="shared" si="7"/>
        <v>222966.4496</v>
      </c>
      <c r="BY12" s="54">
        <f t="shared" si="7"/>
        <v>222966.4496</v>
      </c>
      <c r="BZ12" s="54">
        <f t="shared" si="7"/>
        <v>222966.4496</v>
      </c>
      <c r="CA12" s="54">
        <f t="shared" si="7"/>
        <v>222966.4496</v>
      </c>
      <c r="CB12" s="54">
        <f t="shared" si="7"/>
        <v>222966.4496</v>
      </c>
      <c r="CC12" s="54">
        <f t="shared" si="7"/>
        <v>222966.4496</v>
      </c>
      <c r="CD12" s="54">
        <f t="shared" si="7"/>
        <v>222966.4496</v>
      </c>
      <c r="CE12" s="54">
        <f t="shared" si="7"/>
        <v>222966.4496</v>
      </c>
      <c r="CF12" s="54">
        <f t="shared" si="7"/>
        <v>222966.4496</v>
      </c>
      <c r="CG12" s="54">
        <f t="shared" si="7"/>
        <v>222966.4496</v>
      </c>
      <c r="CH12" s="54">
        <f t="shared" si="7"/>
        <v>222966.4496</v>
      </c>
      <c r="CI12" s="54">
        <f t="shared" si="7"/>
        <v>222966.4496</v>
      </c>
      <c r="CJ12" s="54">
        <f t="shared" si="7"/>
        <v>222966.4496</v>
      </c>
      <c r="CK12" s="54">
        <f t="shared" si="7"/>
        <v>222966.4496</v>
      </c>
      <c r="CL12" s="54">
        <f t="shared" si="7"/>
        <v>222966.4496</v>
      </c>
      <c r="CM12" s="54">
        <f t="shared" si="7"/>
        <v>222966.4496</v>
      </c>
      <c r="CN12" s="54">
        <f t="shared" si="7"/>
        <v>222966.4496</v>
      </c>
      <c r="CO12" s="54">
        <f t="shared" si="7"/>
        <v>222966.4496</v>
      </c>
      <c r="CP12" s="54">
        <f t="shared" si="7"/>
        <v>222966.4496</v>
      </c>
      <c r="CQ12" s="54">
        <f t="shared" si="7"/>
        <v>222966.4496</v>
      </c>
      <c r="CR12" s="54">
        <f t="shared" si="7"/>
        <v>222966.4496</v>
      </c>
      <c r="CS12" s="54">
        <f t="shared" si="7"/>
        <v>222966.4496</v>
      </c>
      <c r="CT12" s="54">
        <f t="shared" si="7"/>
        <v>222966.4496</v>
      </c>
      <c r="CU12" s="54">
        <f t="shared" si="7"/>
        <v>222966.4496</v>
      </c>
      <c r="CV12" s="54">
        <f t="shared" si="7"/>
        <v>222966.4496</v>
      </c>
      <c r="CW12" s="54">
        <f t="shared" si="7"/>
        <v>222966.4496</v>
      </c>
      <c r="CX12" s="54">
        <f t="shared" si="7"/>
        <v>222966.4496</v>
      </c>
      <c r="CY12" s="54">
        <f t="shared" si="7"/>
        <v>222966.4496</v>
      </c>
      <c r="CZ12" s="54">
        <f t="shared" si="7"/>
        <v>222966.4496</v>
      </c>
      <c r="DA12" s="54">
        <f t="shared" si="7"/>
        <v>222966.4496</v>
      </c>
      <c r="DB12" s="54">
        <f t="shared" si="7"/>
        <v>222966.4496</v>
      </c>
      <c r="DC12" s="54">
        <f t="shared" si="7"/>
        <v>222966.4496</v>
      </c>
      <c r="DD12" s="54">
        <f t="shared" si="7"/>
        <v>222966.4496</v>
      </c>
      <c r="DE12" s="54">
        <f t="shared" si="7"/>
        <v>222966.4496</v>
      </c>
      <c r="DF12" s="54">
        <f t="shared" si="7"/>
        <v>222966.4496</v>
      </c>
      <c r="DG12" s="54">
        <f t="shared" si="7"/>
        <v>222966.4496</v>
      </c>
      <c r="DH12" s="54">
        <f t="shared" si="7"/>
        <v>222966.4496</v>
      </c>
      <c r="DI12" s="54">
        <f t="shared" si="7"/>
        <v>222966.4496</v>
      </c>
      <c r="DJ12" s="54">
        <f t="shared" si="7"/>
        <v>222966.4496</v>
      </c>
      <c r="DK12" s="54">
        <f t="shared" si="7"/>
        <v>222966.4496</v>
      </c>
      <c r="DL12" s="54">
        <f t="shared" si="7"/>
        <v>222966.4496</v>
      </c>
      <c r="DM12" s="54">
        <f t="shared" si="7"/>
        <v>222966.4496</v>
      </c>
      <c r="DN12" s="54">
        <f t="shared" si="7"/>
        <v>222966.4496</v>
      </c>
      <c r="DO12" s="54">
        <f t="shared" si="7"/>
        <v>222966.4496</v>
      </c>
      <c r="DP12" s="54">
        <f t="shared" si="7"/>
        <v>222966.4496</v>
      </c>
      <c r="DQ12" s="54">
        <f t="shared" si="7"/>
        <v>222966.4496</v>
      </c>
      <c r="DR12" s="54">
        <f t="shared" si="7"/>
        <v>222966.4496</v>
      </c>
      <c r="DS12" s="54">
        <f t="shared" si="7"/>
        <v>222966.4496</v>
      </c>
      <c r="DT12" s="54">
        <f t="shared" si="7"/>
        <v>222966.4496</v>
      </c>
      <c r="DU12" s="54">
        <f t="shared" si="7"/>
        <v>222966.4496</v>
      </c>
      <c r="DV12" s="54">
        <f t="shared" si="7"/>
        <v>222966.4496</v>
      </c>
      <c r="DW12" s="54">
        <f t="shared" si="7"/>
        <v>222966.4496</v>
      </c>
      <c r="DX12" s="54">
        <f t="shared" si="7"/>
        <v>222966.4496</v>
      </c>
      <c r="DY12" s="54">
        <f t="shared" si="7"/>
        <v>222966.4496</v>
      </c>
      <c r="DZ12" s="54">
        <f t="shared" si="7"/>
        <v>222966.4496</v>
      </c>
      <c r="EA12" s="54">
        <f t="shared" si="7"/>
        <v>222966.4496</v>
      </c>
      <c r="EB12" s="54">
        <f t="shared" si="7"/>
        <v>222966.4496</v>
      </c>
      <c r="EC12" s="54">
        <f t="shared" si="7"/>
        <v>222966.4496</v>
      </c>
      <c r="ED12" s="54">
        <f t="shared" si="7"/>
        <v>222966.4496</v>
      </c>
      <c r="EE12" s="54">
        <f t="shared" si="7"/>
        <v>222966.4496</v>
      </c>
      <c r="EF12" s="54">
        <f t="shared" si="7"/>
        <v>222966.4496</v>
      </c>
    </row>
    <row r="13" ht="15.75" customHeight="1">
      <c r="A13" s="1"/>
      <c r="B13" s="1"/>
      <c r="C13" s="1"/>
      <c r="D13" s="1" t="s">
        <v>174</v>
      </c>
      <c r="E13" s="54">
        <f t="shared" ref="E13:EF13" si="8">E9-E11</f>
        <v>38500000</v>
      </c>
      <c r="F13" s="54">
        <f t="shared" si="8"/>
        <v>38500000</v>
      </c>
      <c r="G13" s="54">
        <f t="shared" si="8"/>
        <v>38500000</v>
      </c>
      <c r="H13" s="54">
        <f t="shared" si="8"/>
        <v>38500000</v>
      </c>
      <c r="I13" s="54">
        <f t="shared" si="8"/>
        <v>38500000</v>
      </c>
      <c r="J13" s="54">
        <f t="shared" si="8"/>
        <v>38500000</v>
      </c>
      <c r="K13" s="54">
        <f t="shared" si="8"/>
        <v>38500000</v>
      </c>
      <c r="L13" s="54">
        <f t="shared" si="8"/>
        <v>38500000</v>
      </c>
      <c r="M13" s="54">
        <f t="shared" si="8"/>
        <v>38500000</v>
      </c>
      <c r="N13" s="54">
        <f t="shared" si="8"/>
        <v>38500000</v>
      </c>
      <c r="O13" s="54">
        <f t="shared" si="8"/>
        <v>38500000</v>
      </c>
      <c r="P13" s="54">
        <f t="shared" si="8"/>
        <v>38500000</v>
      </c>
      <c r="Q13" s="54">
        <f t="shared" si="8"/>
        <v>38500000</v>
      </c>
      <c r="R13" s="54">
        <f t="shared" si="8"/>
        <v>38500000</v>
      </c>
      <c r="S13" s="54">
        <f t="shared" si="8"/>
        <v>38500000</v>
      </c>
      <c r="T13" s="54">
        <f t="shared" si="8"/>
        <v>38500000</v>
      </c>
      <c r="U13" s="54">
        <f t="shared" si="8"/>
        <v>38500000</v>
      </c>
      <c r="V13" s="54">
        <f t="shared" si="8"/>
        <v>38500000</v>
      </c>
      <c r="W13" s="54">
        <f t="shared" si="8"/>
        <v>38500000</v>
      </c>
      <c r="X13" s="54">
        <f t="shared" si="8"/>
        <v>38500000</v>
      </c>
      <c r="Y13" s="54">
        <f t="shared" si="8"/>
        <v>38500000</v>
      </c>
      <c r="Z13" s="54">
        <f t="shared" si="8"/>
        <v>38500000</v>
      </c>
      <c r="AA13" s="54">
        <f t="shared" si="8"/>
        <v>38500000</v>
      </c>
      <c r="AB13" s="54">
        <f t="shared" si="8"/>
        <v>38500000</v>
      </c>
      <c r="AC13" s="54">
        <f t="shared" si="8"/>
        <v>38500000</v>
      </c>
      <c r="AD13" s="54">
        <f t="shared" si="8"/>
        <v>38500000</v>
      </c>
      <c r="AE13" s="54">
        <f t="shared" si="8"/>
        <v>38500000</v>
      </c>
      <c r="AF13" s="54">
        <f t="shared" si="8"/>
        <v>38500000</v>
      </c>
      <c r="AG13" s="54">
        <f t="shared" si="8"/>
        <v>38500000</v>
      </c>
      <c r="AH13" s="54">
        <f t="shared" si="8"/>
        <v>38500000</v>
      </c>
      <c r="AI13" s="54">
        <f t="shared" si="8"/>
        <v>38500000</v>
      </c>
      <c r="AJ13" s="54">
        <f t="shared" si="8"/>
        <v>38500000</v>
      </c>
      <c r="AK13" s="54">
        <f t="shared" si="8"/>
        <v>38500000</v>
      </c>
      <c r="AL13" s="54">
        <f t="shared" si="8"/>
        <v>38500000</v>
      </c>
      <c r="AM13" s="54">
        <f t="shared" si="8"/>
        <v>38500000</v>
      </c>
      <c r="AN13" s="54">
        <f t="shared" si="8"/>
        <v>38500000</v>
      </c>
      <c r="AO13" s="54">
        <f t="shared" si="8"/>
        <v>38459266.88</v>
      </c>
      <c r="AP13" s="54">
        <f t="shared" si="8"/>
        <v>38418340.96</v>
      </c>
      <c r="AQ13" s="54">
        <f t="shared" si="8"/>
        <v>38377221.33</v>
      </c>
      <c r="AR13" s="54">
        <f t="shared" si="8"/>
        <v>38335907.06</v>
      </c>
      <c r="AS13" s="54">
        <f t="shared" si="8"/>
        <v>38294397.24</v>
      </c>
      <c r="AT13" s="54">
        <f t="shared" si="8"/>
        <v>38252690.93</v>
      </c>
      <c r="AU13" s="54">
        <f t="shared" si="8"/>
        <v>38210787.22</v>
      </c>
      <c r="AV13" s="54">
        <f t="shared" si="8"/>
        <v>38168685.16</v>
      </c>
      <c r="AW13" s="54">
        <f t="shared" si="8"/>
        <v>38126383.83</v>
      </c>
      <c r="AX13" s="54">
        <f t="shared" si="8"/>
        <v>38083882.26</v>
      </c>
      <c r="AY13" s="54">
        <f t="shared" si="8"/>
        <v>38041179.52</v>
      </c>
      <c r="AZ13" s="54">
        <f t="shared" si="8"/>
        <v>37998274.65</v>
      </c>
      <c r="BA13" s="54">
        <f t="shared" si="8"/>
        <v>37955166.7</v>
      </c>
      <c r="BB13" s="54">
        <f t="shared" si="8"/>
        <v>37911854.71</v>
      </c>
      <c r="BC13" s="54">
        <f t="shared" si="8"/>
        <v>37868337.7</v>
      </c>
      <c r="BD13" s="54">
        <f t="shared" si="8"/>
        <v>37824614.72</v>
      </c>
      <c r="BE13" s="54">
        <f t="shared" si="8"/>
        <v>37780684.78</v>
      </c>
      <c r="BF13" s="54">
        <f t="shared" si="8"/>
        <v>37736546.91</v>
      </c>
      <c r="BG13" s="54">
        <f t="shared" si="8"/>
        <v>37692200.11</v>
      </c>
      <c r="BH13" s="54">
        <f t="shared" si="8"/>
        <v>37647643.41</v>
      </c>
      <c r="BI13" s="54">
        <f t="shared" si="8"/>
        <v>37602875.8</v>
      </c>
      <c r="BJ13" s="54">
        <f t="shared" si="8"/>
        <v>37557896.3</v>
      </c>
      <c r="BK13" s="54">
        <f t="shared" si="8"/>
        <v>37512703.89</v>
      </c>
      <c r="BL13" s="54">
        <f t="shared" si="8"/>
        <v>37467297.58</v>
      </c>
      <c r="BM13" s="54">
        <f t="shared" si="8"/>
        <v>37421676.33</v>
      </c>
      <c r="BN13" s="54">
        <f t="shared" si="8"/>
        <v>37375839.15</v>
      </c>
      <c r="BO13" s="54">
        <f t="shared" si="8"/>
        <v>37329785.01</v>
      </c>
      <c r="BP13" s="54">
        <f t="shared" si="8"/>
        <v>37283512.87</v>
      </c>
      <c r="BQ13" s="54">
        <f t="shared" si="8"/>
        <v>37237021.72</v>
      </c>
      <c r="BR13" s="54">
        <f t="shared" si="8"/>
        <v>37190310.51</v>
      </c>
      <c r="BS13" s="54">
        <f t="shared" si="8"/>
        <v>37143378.19</v>
      </c>
      <c r="BT13" s="54">
        <f t="shared" si="8"/>
        <v>37096223.73</v>
      </c>
      <c r="BU13" s="54">
        <f t="shared" si="8"/>
        <v>37048846.08</v>
      </c>
      <c r="BV13" s="54">
        <f t="shared" si="8"/>
        <v>37001244.16</v>
      </c>
      <c r="BW13" s="54">
        <f t="shared" si="8"/>
        <v>36953416.94</v>
      </c>
      <c r="BX13" s="54">
        <f t="shared" si="8"/>
        <v>36905363.33</v>
      </c>
      <c r="BY13" s="54">
        <f t="shared" si="8"/>
        <v>36857082.26</v>
      </c>
      <c r="BZ13" s="54">
        <f t="shared" si="8"/>
        <v>36808572.67</v>
      </c>
      <c r="CA13" s="54">
        <f t="shared" si="8"/>
        <v>36759833.47</v>
      </c>
      <c r="CB13" s="54">
        <f t="shared" si="8"/>
        <v>36710863.56</v>
      </c>
      <c r="CC13" s="54">
        <f t="shared" si="8"/>
        <v>36661661.87</v>
      </c>
      <c r="CD13" s="54">
        <f t="shared" si="8"/>
        <v>36612227.28</v>
      </c>
      <c r="CE13" s="54">
        <f t="shared" si="8"/>
        <v>36562558.71</v>
      </c>
      <c r="CF13" s="54">
        <f t="shared" si="8"/>
        <v>36512655.04</v>
      </c>
      <c r="CG13" s="54">
        <f t="shared" si="8"/>
        <v>36462515.15</v>
      </c>
      <c r="CH13" s="54">
        <f t="shared" si="8"/>
        <v>36412137.94</v>
      </c>
      <c r="CI13" s="54">
        <f t="shared" si="8"/>
        <v>36361522.28</v>
      </c>
      <c r="CJ13" s="54">
        <f t="shared" si="8"/>
        <v>36310667.04</v>
      </c>
      <c r="CK13" s="54">
        <f t="shared" si="8"/>
        <v>36259571.08</v>
      </c>
      <c r="CL13" s="54">
        <f t="shared" si="8"/>
        <v>36208233.26</v>
      </c>
      <c r="CM13" s="54">
        <f t="shared" si="8"/>
        <v>36156652.45</v>
      </c>
      <c r="CN13" s="54">
        <f t="shared" si="8"/>
        <v>36104827.49</v>
      </c>
      <c r="CO13" s="54">
        <f t="shared" si="8"/>
        <v>36052757.22</v>
      </c>
      <c r="CP13" s="54">
        <f t="shared" si="8"/>
        <v>36000440.49</v>
      </c>
      <c r="CQ13" s="54">
        <f t="shared" si="8"/>
        <v>35947876.13</v>
      </c>
      <c r="CR13" s="54">
        <f t="shared" si="8"/>
        <v>35895062.96</v>
      </c>
      <c r="CS13" s="54">
        <f t="shared" si="8"/>
        <v>35841999.81</v>
      </c>
      <c r="CT13" s="54">
        <f t="shared" si="8"/>
        <v>35788685.49</v>
      </c>
      <c r="CU13" s="54">
        <f t="shared" si="8"/>
        <v>35735118.82</v>
      </c>
      <c r="CV13" s="54">
        <f t="shared" si="8"/>
        <v>35681298.6</v>
      </c>
      <c r="CW13" s="54">
        <f t="shared" si="8"/>
        <v>35627223.63</v>
      </c>
      <c r="CX13" s="54">
        <f t="shared" si="8"/>
        <v>35572892.7</v>
      </c>
      <c r="CY13" s="54">
        <f t="shared" si="8"/>
        <v>35518304.61</v>
      </c>
      <c r="CZ13" s="54">
        <f t="shared" si="8"/>
        <v>35463458.14</v>
      </c>
      <c r="DA13" s="54">
        <f t="shared" si="8"/>
        <v>35408352.06</v>
      </c>
      <c r="DB13" s="54">
        <f t="shared" si="8"/>
        <v>35352985.14</v>
      </c>
      <c r="DC13" s="54">
        <f t="shared" si="8"/>
        <v>35297356.15</v>
      </c>
      <c r="DD13" s="54">
        <f t="shared" si="8"/>
        <v>35241463.86</v>
      </c>
      <c r="DE13" s="54">
        <f t="shared" si="8"/>
        <v>35185307</v>
      </c>
      <c r="DF13" s="54">
        <f t="shared" si="8"/>
        <v>35128884.34</v>
      </c>
      <c r="DG13" s="54">
        <f t="shared" si="8"/>
        <v>35072194.61</v>
      </c>
      <c r="DH13" s="54">
        <f t="shared" si="8"/>
        <v>35015236.55</v>
      </c>
      <c r="DI13" s="54">
        <f t="shared" si="8"/>
        <v>34958008.88</v>
      </c>
      <c r="DJ13" s="54">
        <f t="shared" si="8"/>
        <v>34900510.34</v>
      </c>
      <c r="DK13" s="54">
        <f t="shared" si="8"/>
        <v>34842739.64</v>
      </c>
      <c r="DL13" s="54">
        <f t="shared" si="8"/>
        <v>34784695.49</v>
      </c>
      <c r="DM13" s="54">
        <f t="shared" si="8"/>
        <v>34726376.6</v>
      </c>
      <c r="DN13" s="54">
        <f t="shared" si="8"/>
        <v>34667781.67</v>
      </c>
      <c r="DO13" s="54">
        <f t="shared" si="8"/>
        <v>34608909.39</v>
      </c>
      <c r="DP13" s="54">
        <f t="shared" si="8"/>
        <v>34549758.44</v>
      </c>
      <c r="DQ13" s="54">
        <f t="shared" si="8"/>
        <v>34490327.51</v>
      </c>
      <c r="DR13" s="54">
        <f t="shared" si="8"/>
        <v>34430615.28</v>
      </c>
      <c r="DS13" s="54">
        <f t="shared" si="8"/>
        <v>34370620.41</v>
      </c>
      <c r="DT13" s="54">
        <f t="shared" si="8"/>
        <v>34310341.56</v>
      </c>
      <c r="DU13" s="54">
        <f t="shared" si="8"/>
        <v>34249777.4</v>
      </c>
      <c r="DV13" s="54">
        <f t="shared" si="8"/>
        <v>34188926.56</v>
      </c>
      <c r="DW13" s="54">
        <f t="shared" si="8"/>
        <v>34127787.7</v>
      </c>
      <c r="DX13" s="54">
        <f t="shared" si="8"/>
        <v>34066359.44</v>
      </c>
      <c r="DY13" s="54">
        <f t="shared" si="8"/>
        <v>34004640.43</v>
      </c>
      <c r="DZ13" s="54">
        <f t="shared" si="8"/>
        <v>33942629.28</v>
      </c>
      <c r="EA13" s="54">
        <f t="shared" si="8"/>
        <v>33880324.61</v>
      </c>
      <c r="EB13" s="54">
        <f t="shared" si="8"/>
        <v>33817725.03</v>
      </c>
      <c r="EC13" s="54">
        <f t="shared" si="8"/>
        <v>33754829.14</v>
      </c>
      <c r="ED13" s="54">
        <f t="shared" si="8"/>
        <v>33691635.55</v>
      </c>
      <c r="EE13" s="54">
        <f t="shared" si="8"/>
        <v>33628142.84</v>
      </c>
      <c r="EF13" s="54">
        <f t="shared" si="8"/>
        <v>33564349.6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</row>
    <row r="15" ht="15.75" customHeight="1">
      <c r="A15" s="1"/>
      <c r="B15" s="1"/>
      <c r="C15" s="40" t="s">
        <v>198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</row>
    <row r="16" ht="15.75" customHeight="1">
      <c r="A16" s="1"/>
      <c r="B16" s="1"/>
      <c r="C16" s="1"/>
      <c r="D16" s="1" t="s">
        <v>199</v>
      </c>
      <c r="E16" s="54">
        <f>SUM(F6:Q6)/$D$30*IF(E1=Assumptions!$D$68*12,1,0)</f>
        <v>0</v>
      </c>
      <c r="F16" s="54">
        <f>SUM(G6:R6)/$D$30*IF(F1=Assumptions!$D$68*12,1,0)</f>
        <v>0</v>
      </c>
      <c r="G16" s="54">
        <f>SUM(H6:S6)/$D$30*IF(G1=Assumptions!$D$68*12,1,0)</f>
        <v>0</v>
      </c>
      <c r="H16" s="54">
        <f>SUM(I6:T6)/$D$30*IF(H1=Assumptions!$D$68*12,1,0)</f>
        <v>0</v>
      </c>
      <c r="I16" s="54">
        <f>SUM(J6:U6)/$D$30*IF(I1=Assumptions!$D$68*12,1,0)</f>
        <v>0</v>
      </c>
      <c r="J16" s="54">
        <f>SUM(K6:V6)/$D$30*IF(J1=Assumptions!$D$68*12,1,0)</f>
        <v>0</v>
      </c>
      <c r="K16" s="54">
        <f>SUM(L6:W6)/$D$30*IF(K1=Assumptions!$D$68*12,1,0)</f>
        <v>0</v>
      </c>
      <c r="L16" s="54">
        <f>SUM(M6:X6)/$D$30*IF(L1=Assumptions!$D$68*12,1,0)</f>
        <v>0</v>
      </c>
      <c r="M16" s="54">
        <f>SUM(N6:Y6)/$D$30*IF(M1=Assumptions!$D$68*12,1,0)</f>
        <v>0</v>
      </c>
      <c r="N16" s="54">
        <f>SUM(O6:Z6)/$D$30*IF(N1=Assumptions!$D$68*12,1,0)</f>
        <v>0</v>
      </c>
      <c r="O16" s="54">
        <f>SUM(P6:AA6)/$D$30*IF(O1=Assumptions!$D$68*12,1,0)</f>
        <v>0</v>
      </c>
      <c r="P16" s="54">
        <f>SUM(Q6:AB6)/$D$30*IF(P1=Assumptions!$D$68*12,1,0)</f>
        <v>0</v>
      </c>
      <c r="Q16" s="54">
        <f>SUM(R6:AC6)/$D$30*IF(Q1=Assumptions!$D$68*12,1,0)</f>
        <v>0</v>
      </c>
      <c r="R16" s="54">
        <f>SUM(S6:AD6)/$D$30*IF(R1=Assumptions!$D$68*12,1,0)</f>
        <v>0</v>
      </c>
      <c r="S16" s="54">
        <f>SUM(T6:AE6)/$D$30*IF(S1=Assumptions!$D$68*12,1,0)</f>
        <v>0</v>
      </c>
      <c r="T16" s="54">
        <f>SUM(U6:AF6)/$D$30*IF(T1=Assumptions!$D$68*12,1,0)</f>
        <v>0</v>
      </c>
      <c r="U16" s="54">
        <f>SUM(V6:AG6)/$D$30*IF(U1=Assumptions!$D$68*12,1,0)</f>
        <v>0</v>
      </c>
      <c r="V16" s="54">
        <f>SUM(W6:AH6)/$D$30*IF(V1=Assumptions!$D$68*12,1,0)</f>
        <v>0</v>
      </c>
      <c r="W16" s="54">
        <f>SUM(X6:AI6)/$D$30*IF(W1=Assumptions!$D$68*12,1,0)</f>
        <v>0</v>
      </c>
      <c r="X16" s="54">
        <f>SUM(Y6:AJ6)/$D$30*IF(X1=Assumptions!$D$68*12,1,0)</f>
        <v>0</v>
      </c>
      <c r="Y16" s="54">
        <f>SUM(Z6:AK6)/$D$30*IF(Y1=Assumptions!$D$68*12,1,0)</f>
        <v>0</v>
      </c>
      <c r="Z16" s="54">
        <f>SUM(AA6:AL6)/$D$30*IF(Z1=Assumptions!$D$68*12,1,0)</f>
        <v>0</v>
      </c>
      <c r="AA16" s="54">
        <f>SUM(AB6:AM6)/$D$30*IF(AA1=Assumptions!$D$68*12,1,0)</f>
        <v>0</v>
      </c>
      <c r="AB16" s="54">
        <f>SUM(AC6:AN6)/$D$30*IF(AB1=Assumptions!$D$68*12,1,0)</f>
        <v>0</v>
      </c>
      <c r="AC16" s="54">
        <f>SUM(AD6:AO6)/$D$30*IF(AC1=Assumptions!$D$68*12,1,0)</f>
        <v>0</v>
      </c>
      <c r="AD16" s="54">
        <f>SUM(AE6:AP6)/$D$30*IF(AD1=Assumptions!$D$68*12,1,0)</f>
        <v>0</v>
      </c>
      <c r="AE16" s="54">
        <f>SUM(AF6:AQ6)/$D$30*IF(AE1=Assumptions!$D$68*12,1,0)</f>
        <v>0</v>
      </c>
      <c r="AF16" s="54">
        <f>SUM(AG6:AR6)/$D$30*IF(AF1=Assumptions!$D$68*12,1,0)</f>
        <v>0</v>
      </c>
      <c r="AG16" s="54">
        <f>SUM(AH6:AS6)/$D$30*IF(AG1=Assumptions!$D$68*12,1,0)</f>
        <v>0</v>
      </c>
      <c r="AH16" s="54">
        <f>SUM(AI6:AT6)/$D$30*IF(AH1=Assumptions!$D$68*12,1,0)</f>
        <v>0</v>
      </c>
      <c r="AI16" s="54">
        <f>SUM(AJ6:AU6)/$D$30*IF(AI1=Assumptions!$D$68*12,1,0)</f>
        <v>0</v>
      </c>
      <c r="AJ16" s="54">
        <f>SUM(AK6:AV6)/$D$30*IF(AJ1=Assumptions!$D$68*12,1,0)</f>
        <v>0</v>
      </c>
      <c r="AK16" s="54">
        <f>SUM(AL6:AW6)/$D$30*IF(AK1=Assumptions!$D$68*12,1,0)</f>
        <v>0</v>
      </c>
      <c r="AL16" s="54">
        <f>SUM(AM6:AX6)/$D$30*IF(AL1=Assumptions!$D$68*12,1,0)</f>
        <v>0</v>
      </c>
      <c r="AM16" s="54">
        <f>SUM(AN6:AY6)/$D$30*IF(AM1=Assumptions!$D$68*12,1,0)</f>
        <v>0</v>
      </c>
      <c r="AN16" s="54">
        <f>SUM(AO6:AZ6)/$D$30*IF(AN1=Assumptions!$D$68*12,1,0)</f>
        <v>0</v>
      </c>
      <c r="AO16" s="54">
        <f>SUM(AP6:BA6)/$D$30*IF(AO1=Assumptions!$D$68*12,1,0)</f>
        <v>0</v>
      </c>
      <c r="AP16" s="54">
        <f>SUM(AQ6:BB6)/$D$30*IF(AP1=Assumptions!$D$68*12,1,0)</f>
        <v>0</v>
      </c>
      <c r="AQ16" s="54">
        <f>SUM(AR6:BC6)/$D$30*IF(AQ1=Assumptions!$D$68*12,1,0)</f>
        <v>0</v>
      </c>
      <c r="AR16" s="54">
        <f>SUM(AS6:BD6)/$D$30*IF(AR1=Assumptions!$D$68*12,1,0)</f>
        <v>0</v>
      </c>
      <c r="AS16" s="54">
        <f>SUM(AT6:BE6)/$D$30*IF(AS1=Assumptions!$D$68*12,1,0)</f>
        <v>0</v>
      </c>
      <c r="AT16" s="54">
        <f>SUM(AU6:BF6)/$D$30*IF(AT1=Assumptions!$D$68*12,1,0)</f>
        <v>0</v>
      </c>
      <c r="AU16" s="54">
        <f>SUM(AV6:BG6)/$D$30*IF(AU1=Assumptions!$D$68*12,1,0)</f>
        <v>0</v>
      </c>
      <c r="AV16" s="54">
        <f>SUM(AW6:BH6)/$D$30*IF(AV1=Assumptions!$D$68*12,1,0)</f>
        <v>0</v>
      </c>
      <c r="AW16" s="54">
        <f>SUM(AX6:BI6)/$D$30*IF(AW1=Assumptions!$D$68*12,1,0)</f>
        <v>0</v>
      </c>
      <c r="AX16" s="54">
        <f>SUM(AY6:BJ6)/$D$30*IF(AX1=Assumptions!$D$68*12,1,0)</f>
        <v>0</v>
      </c>
      <c r="AY16" s="54">
        <f>SUM(AZ6:BK6)/$D$30*IF(AY1=Assumptions!$D$68*12,1,0)</f>
        <v>0</v>
      </c>
      <c r="AZ16" s="54">
        <f>SUM(BA6:BL6)/$D$30*IF(AZ1=Assumptions!$D$68*12,1,0)</f>
        <v>0</v>
      </c>
      <c r="BA16" s="54">
        <f>SUM(BB6:BM6)/$D$30*IF(BA1=Assumptions!$D$68*12,1,0)</f>
        <v>0</v>
      </c>
      <c r="BB16" s="54">
        <f>SUM(BC6:BN6)/$D$30*IF(BB1=Assumptions!$D$68*12,1,0)</f>
        <v>0</v>
      </c>
      <c r="BC16" s="54">
        <f>SUM(BD6:BO6)/$D$30*IF(BC1=Assumptions!$D$68*12,1,0)</f>
        <v>0</v>
      </c>
      <c r="BD16" s="54">
        <f>SUM(BE6:BP6)/$D$30*IF(BD1=Assumptions!$D$68*12,1,0)</f>
        <v>0</v>
      </c>
      <c r="BE16" s="54">
        <f>SUM(BF6:BQ6)/$D$30*IF(BE1=Assumptions!$D$68*12,1,0)</f>
        <v>0</v>
      </c>
      <c r="BF16" s="54">
        <f>SUM(BG6:BR6)/$D$30*IF(BF1=Assumptions!$D$68*12,1,0)</f>
        <v>0</v>
      </c>
      <c r="BG16" s="54">
        <f>SUM(BH6:BS6)/$D$30*IF(BG1=Assumptions!$D$68*12,1,0)</f>
        <v>0</v>
      </c>
      <c r="BH16" s="54">
        <f>SUM(BI6:BT6)/$D$30*IF(BH1=Assumptions!$D$68*12,1,0)</f>
        <v>0</v>
      </c>
      <c r="BI16" s="54">
        <f>SUM(BJ6:BU6)/$D$30*IF(BI1=Assumptions!$D$68*12,1,0)</f>
        <v>0</v>
      </c>
      <c r="BJ16" s="54">
        <f>SUM(BK6:BV6)/$D$30*IF(BJ1=Assumptions!$D$68*12,1,0)</f>
        <v>0</v>
      </c>
      <c r="BK16" s="54">
        <f>SUM(BL6:BW6)/$D$30*IF(BK1=Assumptions!$D$68*12,1,0)</f>
        <v>0</v>
      </c>
      <c r="BL16" s="54">
        <f>SUM(BM6:BX6)/$D$30*IF(BL1=Assumptions!$D$68*12,1,0)</f>
        <v>0</v>
      </c>
      <c r="BM16" s="54">
        <f>SUM(BN6:BY6)/$D$30*IF(BM1=Assumptions!$D$68*12,1,0)</f>
        <v>0</v>
      </c>
      <c r="BN16" s="54">
        <f>SUM(BO6:BZ6)/$D$30*IF(BN1=Assumptions!$D$68*12,1,0)</f>
        <v>0</v>
      </c>
      <c r="BO16" s="54">
        <f>SUM(BP6:CA6)/$D$30*IF(BO1=Assumptions!$D$68*12,1,0)</f>
        <v>0</v>
      </c>
      <c r="BP16" s="54">
        <f>SUM(BQ6:CB6)/$D$30*IF(BP1=Assumptions!$D$68*12,1,0)</f>
        <v>0</v>
      </c>
      <c r="BQ16" s="54">
        <f>SUM(BR6:CC6)/$D$30*IF(BQ1=Assumptions!$D$68*12,1,0)</f>
        <v>0</v>
      </c>
      <c r="BR16" s="54">
        <f>SUM(BS6:CD6)/$D$30*IF(BR1=Assumptions!$D$68*12,1,0)</f>
        <v>0</v>
      </c>
      <c r="BS16" s="54">
        <f>SUM(BT6:CE6)/$D$30*IF(BS1=Assumptions!$D$68*12,1,0)</f>
        <v>0</v>
      </c>
      <c r="BT16" s="54">
        <f>SUM(BU6:CF6)/$D$30*IF(BT1=Assumptions!$D$68*12,1,0)</f>
        <v>0</v>
      </c>
      <c r="BU16" s="54">
        <f>SUM(BV6:CG6)/$D$30*IF(BU1=Assumptions!$D$68*12,1,0)</f>
        <v>0</v>
      </c>
      <c r="BV16" s="54">
        <f>SUM(BW6:CH6)/$D$30*IF(BV1=Assumptions!$D$68*12,1,0)</f>
        <v>0</v>
      </c>
      <c r="BW16" s="54">
        <f>SUM(BX6:CI6)/$D$30*IF(BW1=Assumptions!$D$68*12,1,0)</f>
        <v>0</v>
      </c>
      <c r="BX16" s="54">
        <f>SUM(BY6:CJ6)/$D$30*IF(BX1=Assumptions!$D$68*12,1,0)</f>
        <v>0</v>
      </c>
      <c r="BY16" s="54">
        <f>SUM(BZ6:CK6)/$D$30*IF(BY1=Assumptions!$D$68*12,1,0)</f>
        <v>0</v>
      </c>
      <c r="BZ16" s="54">
        <f>SUM(CA6:CL6)/$D$30*IF(BZ1=Assumptions!$D$68*12,1,0)</f>
        <v>0</v>
      </c>
      <c r="CA16" s="54">
        <f>SUM(CB6:CM6)/$D$30*IF(CA1=Assumptions!$D$68*12,1,0)</f>
        <v>0</v>
      </c>
      <c r="CB16" s="54">
        <f>SUM(CC6:CN6)/$D$30*IF(CB1=Assumptions!$D$68*12,1,0)</f>
        <v>0</v>
      </c>
      <c r="CC16" s="54">
        <f>SUM(CD6:CO6)/$D$30*IF(CC1=Assumptions!$D$68*12,1,0)</f>
        <v>0</v>
      </c>
      <c r="CD16" s="54">
        <f>SUM(CE6:CP6)/$D$30*IF(CD1=Assumptions!$D$68*12,1,0)</f>
        <v>0</v>
      </c>
      <c r="CE16" s="54">
        <f>SUM(CF6:CQ6)/$D$30*IF(CE1=Assumptions!$D$68*12,1,0)</f>
        <v>0</v>
      </c>
      <c r="CF16" s="54">
        <f>SUM(CG6:CR6)/$D$30*IF(CF1=Assumptions!$D$68*12,1,0)</f>
        <v>0</v>
      </c>
      <c r="CG16" s="54">
        <f>SUM(CH6:CS6)/$D$30*IF(CG1=Assumptions!$D$68*12,1,0)</f>
        <v>0</v>
      </c>
      <c r="CH16" s="54">
        <f>SUM(CI6:CT6)/$D$30*IF(CH1=Assumptions!$D$68*12,1,0)</f>
        <v>0</v>
      </c>
      <c r="CI16" s="54">
        <f>SUM(CJ6:CU6)/$D$30*IF(CI1=Assumptions!$D$68*12,1,0)</f>
        <v>0</v>
      </c>
      <c r="CJ16" s="54">
        <f>SUM(CK6:CV6)/$D$30*IF(CJ1=Assumptions!$D$68*12,1,0)</f>
        <v>0</v>
      </c>
      <c r="CK16" s="54">
        <f>SUM(CL6:CW6)/$D$30*IF(CK1=Assumptions!$D$68*12,1,0)</f>
        <v>0</v>
      </c>
      <c r="CL16" s="54">
        <f>SUM(CM6:CX6)/$D$30*IF(CL1=Assumptions!$D$68*12,1,0)</f>
        <v>0</v>
      </c>
      <c r="CM16" s="54">
        <f>SUM(CN6:CY6)/$D$30*IF(CM1=Assumptions!$D$68*12,1,0)</f>
        <v>0</v>
      </c>
      <c r="CN16" s="54">
        <f>SUM(CO6:CZ6)/$D$30*IF(CN1=Assumptions!$D$68*12,1,0)</f>
        <v>0</v>
      </c>
      <c r="CO16" s="54">
        <f>SUM(CP6:DA6)/$D$30*IF(CO1=Assumptions!$D$68*12,1,0)</f>
        <v>0</v>
      </c>
      <c r="CP16" s="54">
        <f>SUM(CQ6:DB6)/$D$30*IF(CP1=Assumptions!$D$68*12,1,0)</f>
        <v>0</v>
      </c>
      <c r="CQ16" s="54">
        <f>SUM(CR6:DC6)/$D$30*IF(CQ1=Assumptions!$D$68*12,1,0)</f>
        <v>0</v>
      </c>
      <c r="CR16" s="54">
        <f>SUM(CS6:DD6)/$D$30*IF(CR1=Assumptions!$D$68*12,1,0)</f>
        <v>0</v>
      </c>
      <c r="CS16" s="54">
        <f>SUM(CT6:DE6)/$D$30*IF(CS1=Assumptions!$D$68*12,1,0)</f>
        <v>0</v>
      </c>
      <c r="CT16" s="54">
        <f>SUM(CU6:DF6)/$D$30*IF(CT1=Assumptions!$D$68*12,1,0)</f>
        <v>0</v>
      </c>
      <c r="CU16" s="54">
        <f>SUM(CV6:DG6)/$D$30*IF(CU1=Assumptions!$D$68*12,1,0)</f>
        <v>0</v>
      </c>
      <c r="CV16" s="54">
        <f>SUM(CW6:DH6)/$D$30*IF(CV1=Assumptions!$D$68*12,1,0)</f>
        <v>0</v>
      </c>
      <c r="CW16" s="54">
        <f>SUM(CX6:DI6)/$D$30*IF(CW1=Assumptions!$D$68*12,1,0)</f>
        <v>0</v>
      </c>
      <c r="CX16" s="54">
        <f>SUM(CY6:DJ6)/$D$30*IF(CX1=Assumptions!$D$68*12,1,0)</f>
        <v>0</v>
      </c>
      <c r="CY16" s="54">
        <f>SUM(CZ6:DK6)/$D$30*IF(CY1=Assumptions!$D$68*12,1,0)</f>
        <v>0</v>
      </c>
      <c r="CZ16" s="54">
        <f>SUM(DA6:DL6)/$D$30*IF(CZ1=Assumptions!$D$68*12,1,0)</f>
        <v>0</v>
      </c>
      <c r="DA16" s="54">
        <f>SUM(DB6:DM6)/$D$30*IF(DA1=Assumptions!$D$68*12,1,0)</f>
        <v>0</v>
      </c>
      <c r="DB16" s="54">
        <f>SUM(DC6:DN6)/$D$30*IF(DB1=Assumptions!$D$68*12,1,0)</f>
        <v>0</v>
      </c>
      <c r="DC16" s="54">
        <f>SUM(DD6:DO6)/$D$30*IF(DC1=Assumptions!$D$68*12,1,0)</f>
        <v>0</v>
      </c>
      <c r="DD16" s="54">
        <f>SUM(DE6:DP6)/$D$30*IF(DD1=Assumptions!$D$68*12,1,0)</f>
        <v>0</v>
      </c>
      <c r="DE16" s="54">
        <f>SUM(DF6:DQ6)/$D$30*IF(DE1=Assumptions!$D$68*12,1,0)</f>
        <v>0</v>
      </c>
      <c r="DF16" s="54">
        <f>SUM(DG6:DR6)/$D$30*IF(DF1=Assumptions!$D$68*12,1,0)</f>
        <v>0</v>
      </c>
      <c r="DG16" s="54">
        <f>SUM(DH6:DS6)/$D$30*IF(DG1=Assumptions!$D$68*12,1,0)</f>
        <v>0</v>
      </c>
      <c r="DH16" s="54">
        <f>SUM(DI6:DT6)/$D$30*IF(DH1=Assumptions!$D$68*12,1,0)</f>
        <v>0</v>
      </c>
      <c r="DI16" s="54">
        <f>SUM(DJ6:DU6)/$D$30*IF(DI1=Assumptions!$D$68*12,1,0)</f>
        <v>0</v>
      </c>
      <c r="DJ16" s="54">
        <f>SUM(DK6:DV6)/$D$30*IF(DJ1=Assumptions!$D$68*12,1,0)</f>
        <v>0</v>
      </c>
      <c r="DK16" s="54">
        <f>SUM(DL6:DW6)/$D$30*IF(DK1=Assumptions!$D$68*12,1,0)</f>
        <v>0</v>
      </c>
      <c r="DL16" s="54">
        <f>SUM(DM6:DX6)/$D$30*IF(DL1=Assumptions!$D$68*12,1,0)</f>
        <v>0</v>
      </c>
      <c r="DM16" s="54">
        <f>SUM(DN6:DY6)/$D$30*IF(DM1=Assumptions!$D$68*12,1,0)</f>
        <v>0</v>
      </c>
      <c r="DN16" s="54">
        <f>SUM(DO6:DZ6)/$D$30*IF(DN1=Assumptions!$D$68*12,1,0)</f>
        <v>0</v>
      </c>
      <c r="DO16" s="54">
        <f>SUM(DP6:EA6)/$D$30*IF(DO1=Assumptions!$D$68*12,1,0)</f>
        <v>0</v>
      </c>
      <c r="DP16" s="54">
        <f>SUM(DQ6:EB6)/$D$30*IF(DP1=Assumptions!$D$68*12,1,0)</f>
        <v>0</v>
      </c>
      <c r="DQ16" s="54">
        <f>SUM(DR6:EC6)/$D$30*IF(DQ1=Assumptions!$D$68*12,1,0)</f>
        <v>0</v>
      </c>
      <c r="DR16" s="54">
        <f>SUM(DS6:ED6)/$D$30*IF(DR1=Assumptions!$D$68*12,1,0)</f>
        <v>0</v>
      </c>
      <c r="DS16" s="54">
        <f>SUM(DT6:EE6)/$D$30*IF(DS1=Assumptions!$D$68*12,1,0)</f>
        <v>0</v>
      </c>
      <c r="DT16" s="54">
        <f>SUM(DU6:EF6)/$D$30*IF(DT1=Assumptions!$D$68*12,1,0)</f>
        <v>87194598.89</v>
      </c>
      <c r="DU16" s="54">
        <f>SUM(DV6:EG6)/$D$30*IF(DU1=Assumptions!$D$68*12,1,0)</f>
        <v>0</v>
      </c>
      <c r="DV16" s="54">
        <f>SUM(DW6:EH6)/$D$30*IF(DV1=Assumptions!$D$68*12,1,0)</f>
        <v>0</v>
      </c>
      <c r="DW16" s="54">
        <f>SUM(DX6:EI6)/$D$30*IF(DW1=Assumptions!$D$68*12,1,0)</f>
        <v>0</v>
      </c>
      <c r="DX16" s="54">
        <f>SUM(DY6:EJ6)/$D$30*IF(DX1=Assumptions!$D$68*12,1,0)</f>
        <v>0</v>
      </c>
      <c r="DY16" s="54">
        <f>SUM(DZ6:EK6)/$D$30*IF(DY1=Assumptions!$D$68*12,1,0)</f>
        <v>0</v>
      </c>
      <c r="DZ16" s="54">
        <f>SUM(EA6:EL6)/$D$30*IF(DZ1=Assumptions!$D$68*12,1,0)</f>
        <v>0</v>
      </c>
      <c r="EA16" s="54">
        <f>SUM(EB6:EM6)/$D$30*IF(EA1=Assumptions!$D$68*12,1,0)</f>
        <v>0</v>
      </c>
      <c r="EB16" s="54">
        <f>SUM(EC6:EN6)/$D$30*IF(EB1=Assumptions!$D$68*12,1,0)</f>
        <v>0</v>
      </c>
      <c r="EC16" s="54">
        <f>SUM(ED6:EO6)/$D$30*IF(EC1=Assumptions!$D$68*12,1,0)</f>
        <v>0</v>
      </c>
      <c r="ED16" s="54">
        <f>SUM(EE6:EP6)/$D$30*IF(ED1=Assumptions!$D$68*12,1,0)</f>
        <v>0</v>
      </c>
      <c r="EE16" s="54">
        <f>SUM(EF6:EQ6)/$D$30*IF(EE1=Assumptions!$D$68*12,1,0)</f>
        <v>0</v>
      </c>
      <c r="EF16" s="54">
        <f>SUM(EG6:ER6)/$D$30*IF(EF1=Assumptions!$D$68*12,1,0)</f>
        <v>0</v>
      </c>
    </row>
    <row r="17" ht="15.75" customHeight="1">
      <c r="A17" s="1"/>
      <c r="B17" s="1"/>
      <c r="C17" s="1"/>
      <c r="D17" s="1" t="s">
        <v>120</v>
      </c>
      <c r="E17" s="54">
        <f t="shared" ref="E17:EF17" si="9">-E16*$D$31</f>
        <v>0</v>
      </c>
      <c r="F17" s="54">
        <f t="shared" si="9"/>
        <v>0</v>
      </c>
      <c r="G17" s="54">
        <f t="shared" si="9"/>
        <v>0</v>
      </c>
      <c r="H17" s="54">
        <f t="shared" si="9"/>
        <v>0</v>
      </c>
      <c r="I17" s="54">
        <f t="shared" si="9"/>
        <v>0</v>
      </c>
      <c r="J17" s="54">
        <f t="shared" si="9"/>
        <v>0</v>
      </c>
      <c r="K17" s="54">
        <f t="shared" si="9"/>
        <v>0</v>
      </c>
      <c r="L17" s="54">
        <f t="shared" si="9"/>
        <v>0</v>
      </c>
      <c r="M17" s="54">
        <f t="shared" si="9"/>
        <v>0</v>
      </c>
      <c r="N17" s="54">
        <f t="shared" si="9"/>
        <v>0</v>
      </c>
      <c r="O17" s="54">
        <f t="shared" si="9"/>
        <v>0</v>
      </c>
      <c r="P17" s="54">
        <f t="shared" si="9"/>
        <v>0</v>
      </c>
      <c r="Q17" s="54">
        <f t="shared" si="9"/>
        <v>0</v>
      </c>
      <c r="R17" s="54">
        <f t="shared" si="9"/>
        <v>0</v>
      </c>
      <c r="S17" s="54">
        <f t="shared" si="9"/>
        <v>0</v>
      </c>
      <c r="T17" s="54">
        <f t="shared" si="9"/>
        <v>0</v>
      </c>
      <c r="U17" s="54">
        <f t="shared" si="9"/>
        <v>0</v>
      </c>
      <c r="V17" s="54">
        <f t="shared" si="9"/>
        <v>0</v>
      </c>
      <c r="W17" s="54">
        <f t="shared" si="9"/>
        <v>0</v>
      </c>
      <c r="X17" s="54">
        <f t="shared" si="9"/>
        <v>0</v>
      </c>
      <c r="Y17" s="54">
        <f t="shared" si="9"/>
        <v>0</v>
      </c>
      <c r="Z17" s="54">
        <f t="shared" si="9"/>
        <v>0</v>
      </c>
      <c r="AA17" s="54">
        <f t="shared" si="9"/>
        <v>0</v>
      </c>
      <c r="AB17" s="54">
        <f t="shared" si="9"/>
        <v>0</v>
      </c>
      <c r="AC17" s="54">
        <f t="shared" si="9"/>
        <v>0</v>
      </c>
      <c r="AD17" s="54">
        <f t="shared" si="9"/>
        <v>0</v>
      </c>
      <c r="AE17" s="54">
        <f t="shared" si="9"/>
        <v>0</v>
      </c>
      <c r="AF17" s="54">
        <f t="shared" si="9"/>
        <v>0</v>
      </c>
      <c r="AG17" s="54">
        <f t="shared" si="9"/>
        <v>0</v>
      </c>
      <c r="AH17" s="54">
        <f t="shared" si="9"/>
        <v>0</v>
      </c>
      <c r="AI17" s="54">
        <f t="shared" si="9"/>
        <v>0</v>
      </c>
      <c r="AJ17" s="54">
        <f t="shared" si="9"/>
        <v>0</v>
      </c>
      <c r="AK17" s="54">
        <f t="shared" si="9"/>
        <v>0</v>
      </c>
      <c r="AL17" s="54">
        <f t="shared" si="9"/>
        <v>0</v>
      </c>
      <c r="AM17" s="54">
        <f t="shared" si="9"/>
        <v>0</v>
      </c>
      <c r="AN17" s="54">
        <f t="shared" si="9"/>
        <v>0</v>
      </c>
      <c r="AO17" s="54">
        <f t="shared" si="9"/>
        <v>0</v>
      </c>
      <c r="AP17" s="54">
        <f t="shared" si="9"/>
        <v>0</v>
      </c>
      <c r="AQ17" s="54">
        <f t="shared" si="9"/>
        <v>0</v>
      </c>
      <c r="AR17" s="54">
        <f t="shared" si="9"/>
        <v>0</v>
      </c>
      <c r="AS17" s="54">
        <f t="shared" si="9"/>
        <v>0</v>
      </c>
      <c r="AT17" s="54">
        <f t="shared" si="9"/>
        <v>0</v>
      </c>
      <c r="AU17" s="54">
        <f t="shared" si="9"/>
        <v>0</v>
      </c>
      <c r="AV17" s="54">
        <f t="shared" si="9"/>
        <v>0</v>
      </c>
      <c r="AW17" s="54">
        <f t="shared" si="9"/>
        <v>0</v>
      </c>
      <c r="AX17" s="54">
        <f t="shared" si="9"/>
        <v>0</v>
      </c>
      <c r="AY17" s="54">
        <f t="shared" si="9"/>
        <v>0</v>
      </c>
      <c r="AZ17" s="54">
        <f t="shared" si="9"/>
        <v>0</v>
      </c>
      <c r="BA17" s="54">
        <f t="shared" si="9"/>
        <v>0</v>
      </c>
      <c r="BB17" s="54">
        <f t="shared" si="9"/>
        <v>0</v>
      </c>
      <c r="BC17" s="54">
        <f t="shared" si="9"/>
        <v>0</v>
      </c>
      <c r="BD17" s="54">
        <f t="shared" si="9"/>
        <v>0</v>
      </c>
      <c r="BE17" s="54">
        <f t="shared" si="9"/>
        <v>0</v>
      </c>
      <c r="BF17" s="54">
        <f t="shared" si="9"/>
        <v>0</v>
      </c>
      <c r="BG17" s="54">
        <f t="shared" si="9"/>
        <v>0</v>
      </c>
      <c r="BH17" s="54">
        <f t="shared" si="9"/>
        <v>0</v>
      </c>
      <c r="BI17" s="54">
        <f t="shared" si="9"/>
        <v>0</v>
      </c>
      <c r="BJ17" s="54">
        <f t="shared" si="9"/>
        <v>0</v>
      </c>
      <c r="BK17" s="54">
        <f t="shared" si="9"/>
        <v>0</v>
      </c>
      <c r="BL17" s="54">
        <f t="shared" si="9"/>
        <v>0</v>
      </c>
      <c r="BM17" s="54">
        <f t="shared" si="9"/>
        <v>0</v>
      </c>
      <c r="BN17" s="54">
        <f t="shared" si="9"/>
        <v>0</v>
      </c>
      <c r="BO17" s="54">
        <f t="shared" si="9"/>
        <v>0</v>
      </c>
      <c r="BP17" s="54">
        <f t="shared" si="9"/>
        <v>0</v>
      </c>
      <c r="BQ17" s="54">
        <f t="shared" si="9"/>
        <v>0</v>
      </c>
      <c r="BR17" s="54">
        <f t="shared" si="9"/>
        <v>0</v>
      </c>
      <c r="BS17" s="54">
        <f t="shared" si="9"/>
        <v>0</v>
      </c>
      <c r="BT17" s="54">
        <f t="shared" si="9"/>
        <v>0</v>
      </c>
      <c r="BU17" s="54">
        <f t="shared" si="9"/>
        <v>0</v>
      </c>
      <c r="BV17" s="54">
        <f t="shared" si="9"/>
        <v>0</v>
      </c>
      <c r="BW17" s="54">
        <f t="shared" si="9"/>
        <v>0</v>
      </c>
      <c r="BX17" s="54">
        <f t="shared" si="9"/>
        <v>0</v>
      </c>
      <c r="BY17" s="54">
        <f t="shared" si="9"/>
        <v>0</v>
      </c>
      <c r="BZ17" s="54">
        <f t="shared" si="9"/>
        <v>0</v>
      </c>
      <c r="CA17" s="54">
        <f t="shared" si="9"/>
        <v>0</v>
      </c>
      <c r="CB17" s="54">
        <f t="shared" si="9"/>
        <v>0</v>
      </c>
      <c r="CC17" s="54">
        <f t="shared" si="9"/>
        <v>0</v>
      </c>
      <c r="CD17" s="54">
        <f t="shared" si="9"/>
        <v>0</v>
      </c>
      <c r="CE17" s="54">
        <f t="shared" si="9"/>
        <v>0</v>
      </c>
      <c r="CF17" s="54">
        <f t="shared" si="9"/>
        <v>0</v>
      </c>
      <c r="CG17" s="54">
        <f t="shared" si="9"/>
        <v>0</v>
      </c>
      <c r="CH17" s="54">
        <f t="shared" si="9"/>
        <v>0</v>
      </c>
      <c r="CI17" s="54">
        <f t="shared" si="9"/>
        <v>0</v>
      </c>
      <c r="CJ17" s="54">
        <f t="shared" si="9"/>
        <v>0</v>
      </c>
      <c r="CK17" s="54">
        <f t="shared" si="9"/>
        <v>0</v>
      </c>
      <c r="CL17" s="54">
        <f t="shared" si="9"/>
        <v>0</v>
      </c>
      <c r="CM17" s="54">
        <f t="shared" si="9"/>
        <v>0</v>
      </c>
      <c r="CN17" s="54">
        <f t="shared" si="9"/>
        <v>0</v>
      </c>
      <c r="CO17" s="54">
        <f t="shared" si="9"/>
        <v>0</v>
      </c>
      <c r="CP17" s="54">
        <f t="shared" si="9"/>
        <v>0</v>
      </c>
      <c r="CQ17" s="54">
        <f t="shared" si="9"/>
        <v>0</v>
      </c>
      <c r="CR17" s="54">
        <f t="shared" si="9"/>
        <v>0</v>
      </c>
      <c r="CS17" s="54">
        <f t="shared" si="9"/>
        <v>0</v>
      </c>
      <c r="CT17" s="54">
        <f t="shared" si="9"/>
        <v>0</v>
      </c>
      <c r="CU17" s="54">
        <f t="shared" si="9"/>
        <v>0</v>
      </c>
      <c r="CV17" s="54">
        <f t="shared" si="9"/>
        <v>0</v>
      </c>
      <c r="CW17" s="54">
        <f t="shared" si="9"/>
        <v>0</v>
      </c>
      <c r="CX17" s="54">
        <f t="shared" si="9"/>
        <v>0</v>
      </c>
      <c r="CY17" s="54">
        <f t="shared" si="9"/>
        <v>0</v>
      </c>
      <c r="CZ17" s="54">
        <f t="shared" si="9"/>
        <v>0</v>
      </c>
      <c r="DA17" s="54">
        <f t="shared" si="9"/>
        <v>0</v>
      </c>
      <c r="DB17" s="54">
        <f t="shared" si="9"/>
        <v>0</v>
      </c>
      <c r="DC17" s="54">
        <f t="shared" si="9"/>
        <v>0</v>
      </c>
      <c r="DD17" s="54">
        <f t="shared" si="9"/>
        <v>0</v>
      </c>
      <c r="DE17" s="54">
        <f t="shared" si="9"/>
        <v>0</v>
      </c>
      <c r="DF17" s="54">
        <f t="shared" si="9"/>
        <v>0</v>
      </c>
      <c r="DG17" s="54">
        <f t="shared" si="9"/>
        <v>0</v>
      </c>
      <c r="DH17" s="54">
        <f t="shared" si="9"/>
        <v>0</v>
      </c>
      <c r="DI17" s="54">
        <f t="shared" si="9"/>
        <v>0</v>
      </c>
      <c r="DJ17" s="54">
        <f t="shared" si="9"/>
        <v>0</v>
      </c>
      <c r="DK17" s="54">
        <f t="shared" si="9"/>
        <v>0</v>
      </c>
      <c r="DL17" s="54">
        <f t="shared" si="9"/>
        <v>0</v>
      </c>
      <c r="DM17" s="54">
        <f t="shared" si="9"/>
        <v>0</v>
      </c>
      <c r="DN17" s="54">
        <f t="shared" si="9"/>
        <v>0</v>
      </c>
      <c r="DO17" s="54">
        <f t="shared" si="9"/>
        <v>0</v>
      </c>
      <c r="DP17" s="54">
        <f t="shared" si="9"/>
        <v>0</v>
      </c>
      <c r="DQ17" s="54">
        <f t="shared" si="9"/>
        <v>0</v>
      </c>
      <c r="DR17" s="54">
        <f t="shared" si="9"/>
        <v>0</v>
      </c>
      <c r="DS17" s="54">
        <f t="shared" si="9"/>
        <v>0</v>
      </c>
      <c r="DT17" s="54">
        <f t="shared" si="9"/>
        <v>-1743891.978</v>
      </c>
      <c r="DU17" s="54">
        <f t="shared" si="9"/>
        <v>0</v>
      </c>
      <c r="DV17" s="54">
        <f t="shared" si="9"/>
        <v>0</v>
      </c>
      <c r="DW17" s="54">
        <f t="shared" si="9"/>
        <v>0</v>
      </c>
      <c r="DX17" s="54">
        <f t="shared" si="9"/>
        <v>0</v>
      </c>
      <c r="DY17" s="54">
        <f t="shared" si="9"/>
        <v>0</v>
      </c>
      <c r="DZ17" s="54">
        <f t="shared" si="9"/>
        <v>0</v>
      </c>
      <c r="EA17" s="54">
        <f t="shared" si="9"/>
        <v>0</v>
      </c>
      <c r="EB17" s="54">
        <f t="shared" si="9"/>
        <v>0</v>
      </c>
      <c r="EC17" s="54">
        <f t="shared" si="9"/>
        <v>0</v>
      </c>
      <c r="ED17" s="54">
        <f t="shared" si="9"/>
        <v>0</v>
      </c>
      <c r="EE17" s="54">
        <f t="shared" si="9"/>
        <v>0</v>
      </c>
      <c r="EF17" s="54">
        <f t="shared" si="9"/>
        <v>0</v>
      </c>
    </row>
    <row r="18" ht="15.75" customHeight="1">
      <c r="A18" s="1"/>
      <c r="B18" s="1"/>
      <c r="C18" s="1"/>
      <c r="D18" s="1" t="s">
        <v>200</v>
      </c>
      <c r="E18" s="211">
        <f t="shared" ref="E18:EF18" si="10">-E13*IF(E16=0,0,1)</f>
        <v>0</v>
      </c>
      <c r="F18" s="211">
        <f t="shared" si="10"/>
        <v>0</v>
      </c>
      <c r="G18" s="211">
        <f t="shared" si="10"/>
        <v>0</v>
      </c>
      <c r="H18" s="211">
        <f t="shared" si="10"/>
        <v>0</v>
      </c>
      <c r="I18" s="211">
        <f t="shared" si="10"/>
        <v>0</v>
      </c>
      <c r="J18" s="211">
        <f t="shared" si="10"/>
        <v>0</v>
      </c>
      <c r="K18" s="211">
        <f t="shared" si="10"/>
        <v>0</v>
      </c>
      <c r="L18" s="211">
        <f t="shared" si="10"/>
        <v>0</v>
      </c>
      <c r="M18" s="211">
        <f t="shared" si="10"/>
        <v>0</v>
      </c>
      <c r="N18" s="211">
        <f t="shared" si="10"/>
        <v>0</v>
      </c>
      <c r="O18" s="211">
        <f t="shared" si="10"/>
        <v>0</v>
      </c>
      <c r="P18" s="211">
        <f t="shared" si="10"/>
        <v>0</v>
      </c>
      <c r="Q18" s="211">
        <f t="shared" si="10"/>
        <v>0</v>
      </c>
      <c r="R18" s="211">
        <f t="shared" si="10"/>
        <v>0</v>
      </c>
      <c r="S18" s="211">
        <f t="shared" si="10"/>
        <v>0</v>
      </c>
      <c r="T18" s="211">
        <f t="shared" si="10"/>
        <v>0</v>
      </c>
      <c r="U18" s="211">
        <f t="shared" si="10"/>
        <v>0</v>
      </c>
      <c r="V18" s="211">
        <f t="shared" si="10"/>
        <v>0</v>
      </c>
      <c r="W18" s="211">
        <f t="shared" si="10"/>
        <v>0</v>
      </c>
      <c r="X18" s="211">
        <f t="shared" si="10"/>
        <v>0</v>
      </c>
      <c r="Y18" s="211">
        <f t="shared" si="10"/>
        <v>0</v>
      </c>
      <c r="Z18" s="211">
        <f t="shared" si="10"/>
        <v>0</v>
      </c>
      <c r="AA18" s="211">
        <f t="shared" si="10"/>
        <v>0</v>
      </c>
      <c r="AB18" s="211">
        <f t="shared" si="10"/>
        <v>0</v>
      </c>
      <c r="AC18" s="211">
        <f t="shared" si="10"/>
        <v>0</v>
      </c>
      <c r="AD18" s="211">
        <f t="shared" si="10"/>
        <v>0</v>
      </c>
      <c r="AE18" s="211">
        <f t="shared" si="10"/>
        <v>0</v>
      </c>
      <c r="AF18" s="211">
        <f t="shared" si="10"/>
        <v>0</v>
      </c>
      <c r="AG18" s="211">
        <f t="shared" si="10"/>
        <v>0</v>
      </c>
      <c r="AH18" s="211">
        <f t="shared" si="10"/>
        <v>0</v>
      </c>
      <c r="AI18" s="211">
        <f t="shared" si="10"/>
        <v>0</v>
      </c>
      <c r="AJ18" s="211">
        <f t="shared" si="10"/>
        <v>0</v>
      </c>
      <c r="AK18" s="211">
        <f t="shared" si="10"/>
        <v>0</v>
      </c>
      <c r="AL18" s="211">
        <f t="shared" si="10"/>
        <v>0</v>
      </c>
      <c r="AM18" s="211">
        <f t="shared" si="10"/>
        <v>0</v>
      </c>
      <c r="AN18" s="211">
        <f t="shared" si="10"/>
        <v>0</v>
      </c>
      <c r="AO18" s="211">
        <f t="shared" si="10"/>
        <v>0</v>
      </c>
      <c r="AP18" s="211">
        <f t="shared" si="10"/>
        <v>0</v>
      </c>
      <c r="AQ18" s="211">
        <f t="shared" si="10"/>
        <v>0</v>
      </c>
      <c r="AR18" s="211">
        <f t="shared" si="10"/>
        <v>0</v>
      </c>
      <c r="AS18" s="211">
        <f t="shared" si="10"/>
        <v>0</v>
      </c>
      <c r="AT18" s="211">
        <f t="shared" si="10"/>
        <v>0</v>
      </c>
      <c r="AU18" s="211">
        <f t="shared" si="10"/>
        <v>0</v>
      </c>
      <c r="AV18" s="211">
        <f t="shared" si="10"/>
        <v>0</v>
      </c>
      <c r="AW18" s="211">
        <f t="shared" si="10"/>
        <v>0</v>
      </c>
      <c r="AX18" s="211">
        <f t="shared" si="10"/>
        <v>0</v>
      </c>
      <c r="AY18" s="211">
        <f t="shared" si="10"/>
        <v>0</v>
      </c>
      <c r="AZ18" s="211">
        <f t="shared" si="10"/>
        <v>0</v>
      </c>
      <c r="BA18" s="211">
        <f t="shared" si="10"/>
        <v>0</v>
      </c>
      <c r="BB18" s="211">
        <f t="shared" si="10"/>
        <v>0</v>
      </c>
      <c r="BC18" s="211">
        <f t="shared" si="10"/>
        <v>0</v>
      </c>
      <c r="BD18" s="211">
        <f t="shared" si="10"/>
        <v>0</v>
      </c>
      <c r="BE18" s="211">
        <f t="shared" si="10"/>
        <v>0</v>
      </c>
      <c r="BF18" s="211">
        <f t="shared" si="10"/>
        <v>0</v>
      </c>
      <c r="BG18" s="211">
        <f t="shared" si="10"/>
        <v>0</v>
      </c>
      <c r="BH18" s="211">
        <f t="shared" si="10"/>
        <v>0</v>
      </c>
      <c r="BI18" s="211">
        <f t="shared" si="10"/>
        <v>0</v>
      </c>
      <c r="BJ18" s="211">
        <f t="shared" si="10"/>
        <v>0</v>
      </c>
      <c r="BK18" s="211">
        <f t="shared" si="10"/>
        <v>0</v>
      </c>
      <c r="BL18" s="211">
        <f t="shared" si="10"/>
        <v>0</v>
      </c>
      <c r="BM18" s="211">
        <f t="shared" si="10"/>
        <v>0</v>
      </c>
      <c r="BN18" s="211">
        <f t="shared" si="10"/>
        <v>0</v>
      </c>
      <c r="BO18" s="211">
        <f t="shared" si="10"/>
        <v>0</v>
      </c>
      <c r="BP18" s="211">
        <f t="shared" si="10"/>
        <v>0</v>
      </c>
      <c r="BQ18" s="211">
        <f t="shared" si="10"/>
        <v>0</v>
      </c>
      <c r="BR18" s="211">
        <f t="shared" si="10"/>
        <v>0</v>
      </c>
      <c r="BS18" s="211">
        <f t="shared" si="10"/>
        <v>0</v>
      </c>
      <c r="BT18" s="211">
        <f t="shared" si="10"/>
        <v>0</v>
      </c>
      <c r="BU18" s="211">
        <f t="shared" si="10"/>
        <v>0</v>
      </c>
      <c r="BV18" s="211">
        <f t="shared" si="10"/>
        <v>0</v>
      </c>
      <c r="BW18" s="211">
        <f t="shared" si="10"/>
        <v>0</v>
      </c>
      <c r="BX18" s="211">
        <f t="shared" si="10"/>
        <v>0</v>
      </c>
      <c r="BY18" s="211">
        <f t="shared" si="10"/>
        <v>0</v>
      </c>
      <c r="BZ18" s="211">
        <f t="shared" si="10"/>
        <v>0</v>
      </c>
      <c r="CA18" s="211">
        <f t="shared" si="10"/>
        <v>0</v>
      </c>
      <c r="CB18" s="211">
        <f t="shared" si="10"/>
        <v>0</v>
      </c>
      <c r="CC18" s="211">
        <f t="shared" si="10"/>
        <v>0</v>
      </c>
      <c r="CD18" s="211">
        <f t="shared" si="10"/>
        <v>0</v>
      </c>
      <c r="CE18" s="211">
        <f t="shared" si="10"/>
        <v>0</v>
      </c>
      <c r="CF18" s="211">
        <f t="shared" si="10"/>
        <v>0</v>
      </c>
      <c r="CG18" s="211">
        <f t="shared" si="10"/>
        <v>0</v>
      </c>
      <c r="CH18" s="211">
        <f t="shared" si="10"/>
        <v>0</v>
      </c>
      <c r="CI18" s="211">
        <f t="shared" si="10"/>
        <v>0</v>
      </c>
      <c r="CJ18" s="211">
        <f t="shared" si="10"/>
        <v>0</v>
      </c>
      <c r="CK18" s="211">
        <f t="shared" si="10"/>
        <v>0</v>
      </c>
      <c r="CL18" s="211">
        <f t="shared" si="10"/>
        <v>0</v>
      </c>
      <c r="CM18" s="211">
        <f t="shared" si="10"/>
        <v>0</v>
      </c>
      <c r="CN18" s="211">
        <f t="shared" si="10"/>
        <v>0</v>
      </c>
      <c r="CO18" s="211">
        <f t="shared" si="10"/>
        <v>0</v>
      </c>
      <c r="CP18" s="211">
        <f t="shared" si="10"/>
        <v>0</v>
      </c>
      <c r="CQ18" s="211">
        <f t="shared" si="10"/>
        <v>0</v>
      </c>
      <c r="CR18" s="211">
        <f t="shared" si="10"/>
        <v>0</v>
      </c>
      <c r="CS18" s="211">
        <f t="shared" si="10"/>
        <v>0</v>
      </c>
      <c r="CT18" s="211">
        <f t="shared" si="10"/>
        <v>0</v>
      </c>
      <c r="CU18" s="211">
        <f t="shared" si="10"/>
        <v>0</v>
      </c>
      <c r="CV18" s="211">
        <f t="shared" si="10"/>
        <v>0</v>
      </c>
      <c r="CW18" s="211">
        <f t="shared" si="10"/>
        <v>0</v>
      </c>
      <c r="CX18" s="211">
        <f t="shared" si="10"/>
        <v>0</v>
      </c>
      <c r="CY18" s="211">
        <f t="shared" si="10"/>
        <v>0</v>
      </c>
      <c r="CZ18" s="211">
        <f t="shared" si="10"/>
        <v>0</v>
      </c>
      <c r="DA18" s="211">
        <f t="shared" si="10"/>
        <v>0</v>
      </c>
      <c r="DB18" s="211">
        <f t="shared" si="10"/>
        <v>0</v>
      </c>
      <c r="DC18" s="211">
        <f t="shared" si="10"/>
        <v>0</v>
      </c>
      <c r="DD18" s="211">
        <f t="shared" si="10"/>
        <v>0</v>
      </c>
      <c r="DE18" s="211">
        <f t="shared" si="10"/>
        <v>0</v>
      </c>
      <c r="DF18" s="211">
        <f t="shared" si="10"/>
        <v>0</v>
      </c>
      <c r="DG18" s="211">
        <f t="shared" si="10"/>
        <v>0</v>
      </c>
      <c r="DH18" s="211">
        <f t="shared" si="10"/>
        <v>0</v>
      </c>
      <c r="DI18" s="211">
        <f t="shared" si="10"/>
        <v>0</v>
      </c>
      <c r="DJ18" s="211">
        <f t="shared" si="10"/>
        <v>0</v>
      </c>
      <c r="DK18" s="211">
        <f t="shared" si="10"/>
        <v>0</v>
      </c>
      <c r="DL18" s="211">
        <f t="shared" si="10"/>
        <v>0</v>
      </c>
      <c r="DM18" s="211">
        <f t="shared" si="10"/>
        <v>0</v>
      </c>
      <c r="DN18" s="211">
        <f t="shared" si="10"/>
        <v>0</v>
      </c>
      <c r="DO18" s="211">
        <f t="shared" si="10"/>
        <v>0</v>
      </c>
      <c r="DP18" s="211">
        <f t="shared" si="10"/>
        <v>0</v>
      </c>
      <c r="DQ18" s="211">
        <f t="shared" si="10"/>
        <v>0</v>
      </c>
      <c r="DR18" s="211">
        <f t="shared" si="10"/>
        <v>0</v>
      </c>
      <c r="DS18" s="211">
        <f t="shared" si="10"/>
        <v>0</v>
      </c>
      <c r="DT18" s="211">
        <f t="shared" si="10"/>
        <v>-34310341.56</v>
      </c>
      <c r="DU18" s="211">
        <f t="shared" si="10"/>
        <v>0</v>
      </c>
      <c r="DV18" s="211">
        <f t="shared" si="10"/>
        <v>0</v>
      </c>
      <c r="DW18" s="211">
        <f t="shared" si="10"/>
        <v>0</v>
      </c>
      <c r="DX18" s="211">
        <f t="shared" si="10"/>
        <v>0</v>
      </c>
      <c r="DY18" s="211">
        <f t="shared" si="10"/>
        <v>0</v>
      </c>
      <c r="DZ18" s="211">
        <f t="shared" si="10"/>
        <v>0</v>
      </c>
      <c r="EA18" s="211">
        <f t="shared" si="10"/>
        <v>0</v>
      </c>
      <c r="EB18" s="211">
        <f t="shared" si="10"/>
        <v>0</v>
      </c>
      <c r="EC18" s="211">
        <f t="shared" si="10"/>
        <v>0</v>
      </c>
      <c r="ED18" s="211">
        <f t="shared" si="10"/>
        <v>0</v>
      </c>
      <c r="EE18" s="211">
        <f t="shared" si="10"/>
        <v>0</v>
      </c>
      <c r="EF18" s="211">
        <f t="shared" si="10"/>
        <v>0</v>
      </c>
    </row>
    <row r="19" ht="15.75" customHeight="1">
      <c r="A19" s="1"/>
      <c r="B19" s="1"/>
      <c r="C19" s="1"/>
      <c r="D19" s="92" t="s">
        <v>151</v>
      </c>
      <c r="E19" s="213">
        <f t="shared" ref="E19:EF19" si="11">SUM(E16:E18)</f>
        <v>0</v>
      </c>
      <c r="F19" s="213">
        <f t="shared" si="11"/>
        <v>0</v>
      </c>
      <c r="G19" s="213">
        <f t="shared" si="11"/>
        <v>0</v>
      </c>
      <c r="H19" s="213">
        <f t="shared" si="11"/>
        <v>0</v>
      </c>
      <c r="I19" s="213">
        <f t="shared" si="11"/>
        <v>0</v>
      </c>
      <c r="J19" s="213">
        <f t="shared" si="11"/>
        <v>0</v>
      </c>
      <c r="K19" s="213">
        <f t="shared" si="11"/>
        <v>0</v>
      </c>
      <c r="L19" s="213">
        <f t="shared" si="11"/>
        <v>0</v>
      </c>
      <c r="M19" s="213">
        <f t="shared" si="11"/>
        <v>0</v>
      </c>
      <c r="N19" s="213">
        <f t="shared" si="11"/>
        <v>0</v>
      </c>
      <c r="O19" s="213">
        <f t="shared" si="11"/>
        <v>0</v>
      </c>
      <c r="P19" s="213">
        <f t="shared" si="11"/>
        <v>0</v>
      </c>
      <c r="Q19" s="213">
        <f t="shared" si="11"/>
        <v>0</v>
      </c>
      <c r="R19" s="213">
        <f t="shared" si="11"/>
        <v>0</v>
      </c>
      <c r="S19" s="213">
        <f t="shared" si="11"/>
        <v>0</v>
      </c>
      <c r="T19" s="213">
        <f t="shared" si="11"/>
        <v>0</v>
      </c>
      <c r="U19" s="213">
        <f t="shared" si="11"/>
        <v>0</v>
      </c>
      <c r="V19" s="213">
        <f t="shared" si="11"/>
        <v>0</v>
      </c>
      <c r="W19" s="213">
        <f t="shared" si="11"/>
        <v>0</v>
      </c>
      <c r="X19" s="213">
        <f t="shared" si="11"/>
        <v>0</v>
      </c>
      <c r="Y19" s="213">
        <f t="shared" si="11"/>
        <v>0</v>
      </c>
      <c r="Z19" s="213">
        <f t="shared" si="11"/>
        <v>0</v>
      </c>
      <c r="AA19" s="213">
        <f t="shared" si="11"/>
        <v>0</v>
      </c>
      <c r="AB19" s="213">
        <f t="shared" si="11"/>
        <v>0</v>
      </c>
      <c r="AC19" s="213">
        <f t="shared" si="11"/>
        <v>0</v>
      </c>
      <c r="AD19" s="213">
        <f t="shared" si="11"/>
        <v>0</v>
      </c>
      <c r="AE19" s="213">
        <f t="shared" si="11"/>
        <v>0</v>
      </c>
      <c r="AF19" s="213">
        <f t="shared" si="11"/>
        <v>0</v>
      </c>
      <c r="AG19" s="213">
        <f t="shared" si="11"/>
        <v>0</v>
      </c>
      <c r="AH19" s="213">
        <f t="shared" si="11"/>
        <v>0</v>
      </c>
      <c r="AI19" s="213">
        <f t="shared" si="11"/>
        <v>0</v>
      </c>
      <c r="AJ19" s="213">
        <f t="shared" si="11"/>
        <v>0</v>
      </c>
      <c r="AK19" s="213">
        <f t="shared" si="11"/>
        <v>0</v>
      </c>
      <c r="AL19" s="213">
        <f t="shared" si="11"/>
        <v>0</v>
      </c>
      <c r="AM19" s="213">
        <f t="shared" si="11"/>
        <v>0</v>
      </c>
      <c r="AN19" s="213">
        <f t="shared" si="11"/>
        <v>0</v>
      </c>
      <c r="AO19" s="213">
        <f t="shared" si="11"/>
        <v>0</v>
      </c>
      <c r="AP19" s="213">
        <f t="shared" si="11"/>
        <v>0</v>
      </c>
      <c r="AQ19" s="213">
        <f t="shared" si="11"/>
        <v>0</v>
      </c>
      <c r="AR19" s="213">
        <f t="shared" si="11"/>
        <v>0</v>
      </c>
      <c r="AS19" s="213">
        <f t="shared" si="11"/>
        <v>0</v>
      </c>
      <c r="AT19" s="213">
        <f t="shared" si="11"/>
        <v>0</v>
      </c>
      <c r="AU19" s="213">
        <f t="shared" si="11"/>
        <v>0</v>
      </c>
      <c r="AV19" s="213">
        <f t="shared" si="11"/>
        <v>0</v>
      </c>
      <c r="AW19" s="213">
        <f t="shared" si="11"/>
        <v>0</v>
      </c>
      <c r="AX19" s="213">
        <f t="shared" si="11"/>
        <v>0</v>
      </c>
      <c r="AY19" s="213">
        <f t="shared" si="11"/>
        <v>0</v>
      </c>
      <c r="AZ19" s="213">
        <f t="shared" si="11"/>
        <v>0</v>
      </c>
      <c r="BA19" s="213">
        <f t="shared" si="11"/>
        <v>0</v>
      </c>
      <c r="BB19" s="213">
        <f t="shared" si="11"/>
        <v>0</v>
      </c>
      <c r="BC19" s="213">
        <f t="shared" si="11"/>
        <v>0</v>
      </c>
      <c r="BD19" s="213">
        <f t="shared" si="11"/>
        <v>0</v>
      </c>
      <c r="BE19" s="213">
        <f t="shared" si="11"/>
        <v>0</v>
      </c>
      <c r="BF19" s="213">
        <f t="shared" si="11"/>
        <v>0</v>
      </c>
      <c r="BG19" s="213">
        <f t="shared" si="11"/>
        <v>0</v>
      </c>
      <c r="BH19" s="213">
        <f t="shared" si="11"/>
        <v>0</v>
      </c>
      <c r="BI19" s="213">
        <f t="shared" si="11"/>
        <v>0</v>
      </c>
      <c r="BJ19" s="213">
        <f t="shared" si="11"/>
        <v>0</v>
      </c>
      <c r="BK19" s="213">
        <f t="shared" si="11"/>
        <v>0</v>
      </c>
      <c r="BL19" s="213">
        <f t="shared" si="11"/>
        <v>0</v>
      </c>
      <c r="BM19" s="213">
        <f t="shared" si="11"/>
        <v>0</v>
      </c>
      <c r="BN19" s="213">
        <f t="shared" si="11"/>
        <v>0</v>
      </c>
      <c r="BO19" s="213">
        <f t="shared" si="11"/>
        <v>0</v>
      </c>
      <c r="BP19" s="213">
        <f t="shared" si="11"/>
        <v>0</v>
      </c>
      <c r="BQ19" s="213">
        <f t="shared" si="11"/>
        <v>0</v>
      </c>
      <c r="BR19" s="213">
        <f t="shared" si="11"/>
        <v>0</v>
      </c>
      <c r="BS19" s="213">
        <f t="shared" si="11"/>
        <v>0</v>
      </c>
      <c r="BT19" s="213">
        <f t="shared" si="11"/>
        <v>0</v>
      </c>
      <c r="BU19" s="213">
        <f t="shared" si="11"/>
        <v>0</v>
      </c>
      <c r="BV19" s="213">
        <f t="shared" si="11"/>
        <v>0</v>
      </c>
      <c r="BW19" s="213">
        <f t="shared" si="11"/>
        <v>0</v>
      </c>
      <c r="BX19" s="213">
        <f t="shared" si="11"/>
        <v>0</v>
      </c>
      <c r="BY19" s="213">
        <f t="shared" si="11"/>
        <v>0</v>
      </c>
      <c r="BZ19" s="213">
        <f t="shared" si="11"/>
        <v>0</v>
      </c>
      <c r="CA19" s="213">
        <f t="shared" si="11"/>
        <v>0</v>
      </c>
      <c r="CB19" s="213">
        <f t="shared" si="11"/>
        <v>0</v>
      </c>
      <c r="CC19" s="213">
        <f t="shared" si="11"/>
        <v>0</v>
      </c>
      <c r="CD19" s="213">
        <f t="shared" si="11"/>
        <v>0</v>
      </c>
      <c r="CE19" s="213">
        <f t="shared" si="11"/>
        <v>0</v>
      </c>
      <c r="CF19" s="213">
        <f t="shared" si="11"/>
        <v>0</v>
      </c>
      <c r="CG19" s="213">
        <f t="shared" si="11"/>
        <v>0</v>
      </c>
      <c r="CH19" s="213">
        <f t="shared" si="11"/>
        <v>0</v>
      </c>
      <c r="CI19" s="213">
        <f t="shared" si="11"/>
        <v>0</v>
      </c>
      <c r="CJ19" s="213">
        <f t="shared" si="11"/>
        <v>0</v>
      </c>
      <c r="CK19" s="213">
        <f t="shared" si="11"/>
        <v>0</v>
      </c>
      <c r="CL19" s="213">
        <f t="shared" si="11"/>
        <v>0</v>
      </c>
      <c r="CM19" s="213">
        <f t="shared" si="11"/>
        <v>0</v>
      </c>
      <c r="CN19" s="213">
        <f t="shared" si="11"/>
        <v>0</v>
      </c>
      <c r="CO19" s="213">
        <f t="shared" si="11"/>
        <v>0</v>
      </c>
      <c r="CP19" s="213">
        <f t="shared" si="11"/>
        <v>0</v>
      </c>
      <c r="CQ19" s="213">
        <f t="shared" si="11"/>
        <v>0</v>
      </c>
      <c r="CR19" s="213">
        <f t="shared" si="11"/>
        <v>0</v>
      </c>
      <c r="CS19" s="213">
        <f t="shared" si="11"/>
        <v>0</v>
      </c>
      <c r="CT19" s="213">
        <f t="shared" si="11"/>
        <v>0</v>
      </c>
      <c r="CU19" s="213">
        <f t="shared" si="11"/>
        <v>0</v>
      </c>
      <c r="CV19" s="213">
        <f t="shared" si="11"/>
        <v>0</v>
      </c>
      <c r="CW19" s="213">
        <f t="shared" si="11"/>
        <v>0</v>
      </c>
      <c r="CX19" s="213">
        <f t="shared" si="11"/>
        <v>0</v>
      </c>
      <c r="CY19" s="213">
        <f t="shared" si="11"/>
        <v>0</v>
      </c>
      <c r="CZ19" s="213">
        <f t="shared" si="11"/>
        <v>0</v>
      </c>
      <c r="DA19" s="213">
        <f t="shared" si="11"/>
        <v>0</v>
      </c>
      <c r="DB19" s="213">
        <f t="shared" si="11"/>
        <v>0</v>
      </c>
      <c r="DC19" s="213">
        <f t="shared" si="11"/>
        <v>0</v>
      </c>
      <c r="DD19" s="213">
        <f t="shared" si="11"/>
        <v>0</v>
      </c>
      <c r="DE19" s="213">
        <f t="shared" si="11"/>
        <v>0</v>
      </c>
      <c r="DF19" s="213">
        <f t="shared" si="11"/>
        <v>0</v>
      </c>
      <c r="DG19" s="213">
        <f t="shared" si="11"/>
        <v>0</v>
      </c>
      <c r="DH19" s="213">
        <f t="shared" si="11"/>
        <v>0</v>
      </c>
      <c r="DI19" s="213">
        <f t="shared" si="11"/>
        <v>0</v>
      </c>
      <c r="DJ19" s="213">
        <f t="shared" si="11"/>
        <v>0</v>
      </c>
      <c r="DK19" s="213">
        <f t="shared" si="11"/>
        <v>0</v>
      </c>
      <c r="DL19" s="213">
        <f t="shared" si="11"/>
        <v>0</v>
      </c>
      <c r="DM19" s="213">
        <f t="shared" si="11"/>
        <v>0</v>
      </c>
      <c r="DN19" s="213">
        <f t="shared" si="11"/>
        <v>0</v>
      </c>
      <c r="DO19" s="213">
        <f t="shared" si="11"/>
        <v>0</v>
      </c>
      <c r="DP19" s="213">
        <f t="shared" si="11"/>
        <v>0</v>
      </c>
      <c r="DQ19" s="213">
        <f t="shared" si="11"/>
        <v>0</v>
      </c>
      <c r="DR19" s="213">
        <f t="shared" si="11"/>
        <v>0</v>
      </c>
      <c r="DS19" s="213">
        <f t="shared" si="11"/>
        <v>0</v>
      </c>
      <c r="DT19" s="213">
        <f t="shared" si="11"/>
        <v>51140365.35</v>
      </c>
      <c r="DU19" s="213">
        <f t="shared" si="11"/>
        <v>0</v>
      </c>
      <c r="DV19" s="213">
        <f t="shared" si="11"/>
        <v>0</v>
      </c>
      <c r="DW19" s="213">
        <f t="shared" si="11"/>
        <v>0</v>
      </c>
      <c r="DX19" s="213">
        <f t="shared" si="11"/>
        <v>0</v>
      </c>
      <c r="DY19" s="213">
        <f t="shared" si="11"/>
        <v>0</v>
      </c>
      <c r="DZ19" s="213">
        <f t="shared" si="11"/>
        <v>0</v>
      </c>
      <c r="EA19" s="213">
        <f t="shared" si="11"/>
        <v>0</v>
      </c>
      <c r="EB19" s="213">
        <f t="shared" si="11"/>
        <v>0</v>
      </c>
      <c r="EC19" s="213">
        <f t="shared" si="11"/>
        <v>0</v>
      </c>
      <c r="ED19" s="213">
        <f t="shared" si="11"/>
        <v>0</v>
      </c>
      <c r="EE19" s="213">
        <f t="shared" si="11"/>
        <v>0</v>
      </c>
      <c r="EF19" s="213">
        <f t="shared" si="11"/>
        <v>0</v>
      </c>
    </row>
    <row r="20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</row>
    <row r="21" ht="15.75" customHeight="1">
      <c r="A21" s="1"/>
      <c r="B21" s="1"/>
      <c r="C21" s="1"/>
      <c r="D21" s="1" t="s">
        <v>152</v>
      </c>
      <c r="E21" s="54">
        <f t="shared" ref="E21:EF21" si="12">(E6-E12)*IF(E1&gt;$D$34*12,0,1)</f>
        <v>293154.3104</v>
      </c>
      <c r="F21" s="54">
        <f t="shared" si="12"/>
        <v>293154.3104</v>
      </c>
      <c r="G21" s="54">
        <f t="shared" si="12"/>
        <v>293154.3104</v>
      </c>
      <c r="H21" s="54">
        <f t="shared" si="12"/>
        <v>293154.3104</v>
      </c>
      <c r="I21" s="54">
        <f t="shared" si="12"/>
        <v>293154.3104</v>
      </c>
      <c r="J21" s="54">
        <f t="shared" si="12"/>
        <v>293154.3104</v>
      </c>
      <c r="K21" s="54">
        <f t="shared" si="12"/>
        <v>293154.3104</v>
      </c>
      <c r="L21" s="54">
        <f t="shared" si="12"/>
        <v>293154.3104</v>
      </c>
      <c r="M21" s="54">
        <f t="shared" si="12"/>
        <v>293154.3104</v>
      </c>
      <c r="N21" s="54">
        <f t="shared" si="12"/>
        <v>293154.3104</v>
      </c>
      <c r="O21" s="54">
        <f t="shared" si="12"/>
        <v>293154.3104</v>
      </c>
      <c r="P21" s="54">
        <f t="shared" si="12"/>
        <v>293154.3104</v>
      </c>
      <c r="Q21" s="54">
        <f t="shared" si="12"/>
        <v>341233.8945</v>
      </c>
      <c r="R21" s="54">
        <f t="shared" si="12"/>
        <v>341233.8945</v>
      </c>
      <c r="S21" s="54">
        <f t="shared" si="12"/>
        <v>341233.8945</v>
      </c>
      <c r="T21" s="54">
        <f t="shared" si="12"/>
        <v>341233.8945</v>
      </c>
      <c r="U21" s="54">
        <f t="shared" si="12"/>
        <v>341233.8945</v>
      </c>
      <c r="V21" s="54">
        <f t="shared" si="12"/>
        <v>341233.8945</v>
      </c>
      <c r="W21" s="54">
        <f t="shared" si="12"/>
        <v>341233.8945</v>
      </c>
      <c r="X21" s="54">
        <f t="shared" si="12"/>
        <v>341233.8945</v>
      </c>
      <c r="Y21" s="54">
        <f t="shared" si="12"/>
        <v>341233.8945</v>
      </c>
      <c r="Z21" s="54">
        <f t="shared" si="12"/>
        <v>341233.8945</v>
      </c>
      <c r="AA21" s="54">
        <f t="shared" si="12"/>
        <v>341233.8945</v>
      </c>
      <c r="AB21" s="54">
        <f t="shared" si="12"/>
        <v>341233.8945</v>
      </c>
      <c r="AC21" s="54">
        <f t="shared" si="12"/>
        <v>351470.9114</v>
      </c>
      <c r="AD21" s="54">
        <f t="shared" si="12"/>
        <v>351470.9114</v>
      </c>
      <c r="AE21" s="54">
        <f t="shared" si="12"/>
        <v>351470.9114</v>
      </c>
      <c r="AF21" s="54">
        <f t="shared" si="12"/>
        <v>351470.9114</v>
      </c>
      <c r="AG21" s="54">
        <f t="shared" si="12"/>
        <v>351470.9114</v>
      </c>
      <c r="AH21" s="54">
        <f t="shared" si="12"/>
        <v>351470.9114</v>
      </c>
      <c r="AI21" s="54">
        <f t="shared" si="12"/>
        <v>351470.9114</v>
      </c>
      <c r="AJ21" s="54">
        <f t="shared" si="12"/>
        <v>351470.9114</v>
      </c>
      <c r="AK21" s="54">
        <f t="shared" si="12"/>
        <v>351470.9114</v>
      </c>
      <c r="AL21" s="54">
        <f t="shared" si="12"/>
        <v>351470.9114</v>
      </c>
      <c r="AM21" s="54">
        <f t="shared" si="12"/>
        <v>351470.9114</v>
      </c>
      <c r="AN21" s="54">
        <f t="shared" si="12"/>
        <v>351470.9114</v>
      </c>
      <c r="AO21" s="54">
        <f t="shared" si="12"/>
        <v>139048.5891</v>
      </c>
      <c r="AP21" s="54">
        <f t="shared" si="12"/>
        <v>139048.5891</v>
      </c>
      <c r="AQ21" s="54">
        <f t="shared" si="12"/>
        <v>139048.5891</v>
      </c>
      <c r="AR21" s="54">
        <f t="shared" si="12"/>
        <v>139048.5891</v>
      </c>
      <c r="AS21" s="54">
        <f t="shared" si="12"/>
        <v>139048.5891</v>
      </c>
      <c r="AT21" s="54">
        <f t="shared" si="12"/>
        <v>139048.5891</v>
      </c>
      <c r="AU21" s="54">
        <f t="shared" si="12"/>
        <v>139048.5891</v>
      </c>
      <c r="AV21" s="54">
        <f t="shared" si="12"/>
        <v>139048.5891</v>
      </c>
      <c r="AW21" s="54">
        <f t="shared" si="12"/>
        <v>139048.5891</v>
      </c>
      <c r="AX21" s="54">
        <f t="shared" si="12"/>
        <v>139048.5891</v>
      </c>
      <c r="AY21" s="54">
        <f t="shared" si="12"/>
        <v>139048.5891</v>
      </c>
      <c r="AZ21" s="54">
        <f t="shared" si="12"/>
        <v>139048.5891</v>
      </c>
      <c r="BA21" s="54">
        <f t="shared" si="12"/>
        <v>149909.0403</v>
      </c>
      <c r="BB21" s="54">
        <f t="shared" si="12"/>
        <v>149909.0403</v>
      </c>
      <c r="BC21" s="54">
        <f t="shared" si="12"/>
        <v>149909.0403</v>
      </c>
      <c r="BD21" s="54">
        <f t="shared" si="12"/>
        <v>149909.0403</v>
      </c>
      <c r="BE21" s="54">
        <f t="shared" si="12"/>
        <v>149909.0403</v>
      </c>
      <c r="BF21" s="54">
        <f t="shared" si="12"/>
        <v>149909.0403</v>
      </c>
      <c r="BG21" s="54">
        <f t="shared" si="12"/>
        <v>149909.0403</v>
      </c>
      <c r="BH21" s="54">
        <f t="shared" si="12"/>
        <v>149909.0403</v>
      </c>
      <c r="BI21" s="54">
        <f t="shared" si="12"/>
        <v>149909.0403</v>
      </c>
      <c r="BJ21" s="54">
        <f t="shared" si="12"/>
        <v>149909.0403</v>
      </c>
      <c r="BK21" s="54">
        <f t="shared" si="12"/>
        <v>149909.0403</v>
      </c>
      <c r="BL21" s="54">
        <f t="shared" si="12"/>
        <v>149909.0403</v>
      </c>
      <c r="BM21" s="54">
        <f t="shared" si="12"/>
        <v>161095.3049</v>
      </c>
      <c r="BN21" s="54">
        <f t="shared" si="12"/>
        <v>161095.3049</v>
      </c>
      <c r="BO21" s="54">
        <f t="shared" si="12"/>
        <v>161095.3049</v>
      </c>
      <c r="BP21" s="54">
        <f t="shared" si="12"/>
        <v>161095.3049</v>
      </c>
      <c r="BQ21" s="54">
        <f t="shared" si="12"/>
        <v>161095.3049</v>
      </c>
      <c r="BR21" s="54">
        <f t="shared" si="12"/>
        <v>161095.3049</v>
      </c>
      <c r="BS21" s="54">
        <f t="shared" si="12"/>
        <v>161095.3049</v>
      </c>
      <c r="BT21" s="54">
        <f t="shared" si="12"/>
        <v>161095.3049</v>
      </c>
      <c r="BU21" s="54">
        <f t="shared" si="12"/>
        <v>161095.3049</v>
      </c>
      <c r="BV21" s="54">
        <f t="shared" si="12"/>
        <v>161095.3049</v>
      </c>
      <c r="BW21" s="54">
        <f t="shared" si="12"/>
        <v>161095.3049</v>
      </c>
      <c r="BX21" s="54">
        <f t="shared" si="12"/>
        <v>161095.3049</v>
      </c>
      <c r="BY21" s="54">
        <f t="shared" si="12"/>
        <v>172617.1576</v>
      </c>
      <c r="BZ21" s="54">
        <f t="shared" si="12"/>
        <v>172617.1576</v>
      </c>
      <c r="CA21" s="54">
        <f t="shared" si="12"/>
        <v>172617.1576</v>
      </c>
      <c r="CB21" s="54">
        <f t="shared" si="12"/>
        <v>172617.1576</v>
      </c>
      <c r="CC21" s="54">
        <f t="shared" si="12"/>
        <v>172617.1576</v>
      </c>
      <c r="CD21" s="54">
        <f t="shared" si="12"/>
        <v>172617.1576</v>
      </c>
      <c r="CE21" s="54">
        <f t="shared" si="12"/>
        <v>172617.1576</v>
      </c>
      <c r="CF21" s="54">
        <f t="shared" si="12"/>
        <v>172617.1576</v>
      </c>
      <c r="CG21" s="54">
        <f t="shared" si="12"/>
        <v>172617.1576</v>
      </c>
      <c r="CH21" s="54">
        <f t="shared" si="12"/>
        <v>172617.1576</v>
      </c>
      <c r="CI21" s="54">
        <f t="shared" si="12"/>
        <v>172617.1576</v>
      </c>
      <c r="CJ21" s="54">
        <f t="shared" si="12"/>
        <v>172617.1576</v>
      </c>
      <c r="CK21" s="54">
        <f t="shared" si="12"/>
        <v>184484.6658</v>
      </c>
      <c r="CL21" s="54">
        <f t="shared" si="12"/>
        <v>184484.6658</v>
      </c>
      <c r="CM21" s="54">
        <f t="shared" si="12"/>
        <v>184484.6658</v>
      </c>
      <c r="CN21" s="54">
        <f t="shared" si="12"/>
        <v>184484.6658</v>
      </c>
      <c r="CO21" s="54">
        <f t="shared" si="12"/>
        <v>184484.6658</v>
      </c>
      <c r="CP21" s="54">
        <f t="shared" si="12"/>
        <v>184484.6658</v>
      </c>
      <c r="CQ21" s="54">
        <f t="shared" si="12"/>
        <v>184484.6658</v>
      </c>
      <c r="CR21" s="54">
        <f t="shared" si="12"/>
        <v>184484.6658</v>
      </c>
      <c r="CS21" s="54">
        <f t="shared" si="12"/>
        <v>184484.6658</v>
      </c>
      <c r="CT21" s="54">
        <f t="shared" si="12"/>
        <v>184484.6658</v>
      </c>
      <c r="CU21" s="54">
        <f t="shared" si="12"/>
        <v>184484.6658</v>
      </c>
      <c r="CV21" s="54">
        <f t="shared" si="12"/>
        <v>184484.6658</v>
      </c>
      <c r="CW21" s="54">
        <f t="shared" si="12"/>
        <v>196708.1993</v>
      </c>
      <c r="CX21" s="54">
        <f t="shared" si="12"/>
        <v>196708.1993</v>
      </c>
      <c r="CY21" s="54">
        <f t="shared" si="12"/>
        <v>196708.1993</v>
      </c>
      <c r="CZ21" s="54">
        <f t="shared" si="12"/>
        <v>196708.1993</v>
      </c>
      <c r="DA21" s="54">
        <f t="shared" si="12"/>
        <v>196708.1993</v>
      </c>
      <c r="DB21" s="54">
        <f t="shared" si="12"/>
        <v>196708.1993</v>
      </c>
      <c r="DC21" s="54">
        <f t="shared" si="12"/>
        <v>196708.1993</v>
      </c>
      <c r="DD21" s="54">
        <f t="shared" si="12"/>
        <v>196708.1993</v>
      </c>
      <c r="DE21" s="54">
        <f t="shared" si="12"/>
        <v>196708.1993</v>
      </c>
      <c r="DF21" s="54">
        <f t="shared" si="12"/>
        <v>196708.1993</v>
      </c>
      <c r="DG21" s="54">
        <f t="shared" si="12"/>
        <v>196708.1993</v>
      </c>
      <c r="DH21" s="54">
        <f t="shared" si="12"/>
        <v>196708.1993</v>
      </c>
      <c r="DI21" s="54">
        <f t="shared" si="12"/>
        <v>198054.1029</v>
      </c>
      <c r="DJ21" s="54">
        <f t="shared" si="12"/>
        <v>198054.1029</v>
      </c>
      <c r="DK21" s="54">
        <f t="shared" si="12"/>
        <v>198054.1029</v>
      </c>
      <c r="DL21" s="54">
        <f t="shared" si="12"/>
        <v>198054.1029</v>
      </c>
      <c r="DM21" s="54">
        <f t="shared" si="12"/>
        <v>198054.1029</v>
      </c>
      <c r="DN21" s="54">
        <f t="shared" si="12"/>
        <v>198054.1029</v>
      </c>
      <c r="DO21" s="54">
        <f t="shared" si="12"/>
        <v>198054.1029</v>
      </c>
      <c r="DP21" s="54">
        <f t="shared" si="12"/>
        <v>198054.1029</v>
      </c>
      <c r="DQ21" s="54">
        <f t="shared" si="12"/>
        <v>198054.1029</v>
      </c>
      <c r="DR21" s="54">
        <f t="shared" si="12"/>
        <v>198054.1029</v>
      </c>
      <c r="DS21" s="54">
        <f t="shared" si="12"/>
        <v>198054.1029</v>
      </c>
      <c r="DT21" s="54">
        <f t="shared" si="12"/>
        <v>198054.1029</v>
      </c>
      <c r="DU21" s="54">
        <f t="shared" si="12"/>
        <v>0</v>
      </c>
      <c r="DV21" s="54">
        <f t="shared" si="12"/>
        <v>0</v>
      </c>
      <c r="DW21" s="54">
        <f t="shared" si="12"/>
        <v>0</v>
      </c>
      <c r="DX21" s="54">
        <f t="shared" si="12"/>
        <v>0</v>
      </c>
      <c r="DY21" s="54">
        <f t="shared" si="12"/>
        <v>0</v>
      </c>
      <c r="DZ21" s="54">
        <f t="shared" si="12"/>
        <v>0</v>
      </c>
      <c r="EA21" s="54">
        <f t="shared" si="12"/>
        <v>0</v>
      </c>
      <c r="EB21" s="54">
        <f t="shared" si="12"/>
        <v>0</v>
      </c>
      <c r="EC21" s="54">
        <f t="shared" si="12"/>
        <v>0</v>
      </c>
      <c r="ED21" s="54">
        <f t="shared" si="12"/>
        <v>0</v>
      </c>
      <c r="EE21" s="54">
        <f t="shared" si="12"/>
        <v>0</v>
      </c>
      <c r="EF21" s="54">
        <f t="shared" si="12"/>
        <v>0</v>
      </c>
    </row>
    <row r="22" ht="15.75" customHeight="1">
      <c r="A22" s="1"/>
      <c r="B22" s="1"/>
      <c r="C22" s="1"/>
      <c r="D22" s="1" t="s">
        <v>153</v>
      </c>
      <c r="E22" s="54">
        <f t="shared" ref="E22:EF22" si="13">E19</f>
        <v>0</v>
      </c>
      <c r="F22" s="54">
        <f t="shared" si="13"/>
        <v>0</v>
      </c>
      <c r="G22" s="54">
        <f t="shared" si="13"/>
        <v>0</v>
      </c>
      <c r="H22" s="54">
        <f t="shared" si="13"/>
        <v>0</v>
      </c>
      <c r="I22" s="54">
        <f t="shared" si="13"/>
        <v>0</v>
      </c>
      <c r="J22" s="54">
        <f t="shared" si="13"/>
        <v>0</v>
      </c>
      <c r="K22" s="54">
        <f t="shared" si="13"/>
        <v>0</v>
      </c>
      <c r="L22" s="54">
        <f t="shared" si="13"/>
        <v>0</v>
      </c>
      <c r="M22" s="54">
        <f t="shared" si="13"/>
        <v>0</v>
      </c>
      <c r="N22" s="54">
        <f t="shared" si="13"/>
        <v>0</v>
      </c>
      <c r="O22" s="54">
        <f t="shared" si="13"/>
        <v>0</v>
      </c>
      <c r="P22" s="54">
        <f t="shared" si="13"/>
        <v>0</v>
      </c>
      <c r="Q22" s="54">
        <f t="shared" si="13"/>
        <v>0</v>
      </c>
      <c r="R22" s="54">
        <f t="shared" si="13"/>
        <v>0</v>
      </c>
      <c r="S22" s="54">
        <f t="shared" si="13"/>
        <v>0</v>
      </c>
      <c r="T22" s="54">
        <f t="shared" si="13"/>
        <v>0</v>
      </c>
      <c r="U22" s="54">
        <f t="shared" si="13"/>
        <v>0</v>
      </c>
      <c r="V22" s="54">
        <f t="shared" si="13"/>
        <v>0</v>
      </c>
      <c r="W22" s="54">
        <f t="shared" si="13"/>
        <v>0</v>
      </c>
      <c r="X22" s="54">
        <f t="shared" si="13"/>
        <v>0</v>
      </c>
      <c r="Y22" s="54">
        <f t="shared" si="13"/>
        <v>0</v>
      </c>
      <c r="Z22" s="54">
        <f t="shared" si="13"/>
        <v>0</v>
      </c>
      <c r="AA22" s="54">
        <f t="shared" si="13"/>
        <v>0</v>
      </c>
      <c r="AB22" s="54">
        <f t="shared" si="13"/>
        <v>0</v>
      </c>
      <c r="AC22" s="54">
        <f t="shared" si="13"/>
        <v>0</v>
      </c>
      <c r="AD22" s="54">
        <f t="shared" si="13"/>
        <v>0</v>
      </c>
      <c r="AE22" s="54">
        <f t="shared" si="13"/>
        <v>0</v>
      </c>
      <c r="AF22" s="54">
        <f t="shared" si="13"/>
        <v>0</v>
      </c>
      <c r="AG22" s="54">
        <f t="shared" si="13"/>
        <v>0</v>
      </c>
      <c r="AH22" s="54">
        <f t="shared" si="13"/>
        <v>0</v>
      </c>
      <c r="AI22" s="54">
        <f t="shared" si="13"/>
        <v>0</v>
      </c>
      <c r="AJ22" s="54">
        <f t="shared" si="13"/>
        <v>0</v>
      </c>
      <c r="AK22" s="54">
        <f t="shared" si="13"/>
        <v>0</v>
      </c>
      <c r="AL22" s="54">
        <f t="shared" si="13"/>
        <v>0</v>
      </c>
      <c r="AM22" s="54">
        <f t="shared" si="13"/>
        <v>0</v>
      </c>
      <c r="AN22" s="54">
        <f t="shared" si="13"/>
        <v>0</v>
      </c>
      <c r="AO22" s="54">
        <f t="shared" si="13"/>
        <v>0</v>
      </c>
      <c r="AP22" s="54">
        <f t="shared" si="13"/>
        <v>0</v>
      </c>
      <c r="AQ22" s="54">
        <f t="shared" si="13"/>
        <v>0</v>
      </c>
      <c r="AR22" s="54">
        <f t="shared" si="13"/>
        <v>0</v>
      </c>
      <c r="AS22" s="54">
        <f t="shared" si="13"/>
        <v>0</v>
      </c>
      <c r="AT22" s="54">
        <f t="shared" si="13"/>
        <v>0</v>
      </c>
      <c r="AU22" s="54">
        <f t="shared" si="13"/>
        <v>0</v>
      </c>
      <c r="AV22" s="54">
        <f t="shared" si="13"/>
        <v>0</v>
      </c>
      <c r="AW22" s="54">
        <f t="shared" si="13"/>
        <v>0</v>
      </c>
      <c r="AX22" s="54">
        <f t="shared" si="13"/>
        <v>0</v>
      </c>
      <c r="AY22" s="54">
        <f t="shared" si="13"/>
        <v>0</v>
      </c>
      <c r="AZ22" s="54">
        <f t="shared" si="13"/>
        <v>0</v>
      </c>
      <c r="BA22" s="54">
        <f t="shared" si="13"/>
        <v>0</v>
      </c>
      <c r="BB22" s="54">
        <f t="shared" si="13"/>
        <v>0</v>
      </c>
      <c r="BC22" s="54">
        <f t="shared" si="13"/>
        <v>0</v>
      </c>
      <c r="BD22" s="54">
        <f t="shared" si="13"/>
        <v>0</v>
      </c>
      <c r="BE22" s="54">
        <f t="shared" si="13"/>
        <v>0</v>
      </c>
      <c r="BF22" s="54">
        <f t="shared" si="13"/>
        <v>0</v>
      </c>
      <c r="BG22" s="54">
        <f t="shared" si="13"/>
        <v>0</v>
      </c>
      <c r="BH22" s="54">
        <f t="shared" si="13"/>
        <v>0</v>
      </c>
      <c r="BI22" s="54">
        <f t="shared" si="13"/>
        <v>0</v>
      </c>
      <c r="BJ22" s="54">
        <f t="shared" si="13"/>
        <v>0</v>
      </c>
      <c r="BK22" s="54">
        <f t="shared" si="13"/>
        <v>0</v>
      </c>
      <c r="BL22" s="54">
        <f t="shared" si="13"/>
        <v>0</v>
      </c>
      <c r="BM22" s="54">
        <f t="shared" si="13"/>
        <v>0</v>
      </c>
      <c r="BN22" s="54">
        <f t="shared" si="13"/>
        <v>0</v>
      </c>
      <c r="BO22" s="54">
        <f t="shared" si="13"/>
        <v>0</v>
      </c>
      <c r="BP22" s="54">
        <f t="shared" si="13"/>
        <v>0</v>
      </c>
      <c r="BQ22" s="54">
        <f t="shared" si="13"/>
        <v>0</v>
      </c>
      <c r="BR22" s="54">
        <f t="shared" si="13"/>
        <v>0</v>
      </c>
      <c r="BS22" s="54">
        <f t="shared" si="13"/>
        <v>0</v>
      </c>
      <c r="BT22" s="54">
        <f t="shared" si="13"/>
        <v>0</v>
      </c>
      <c r="BU22" s="54">
        <f t="shared" si="13"/>
        <v>0</v>
      </c>
      <c r="BV22" s="54">
        <f t="shared" si="13"/>
        <v>0</v>
      </c>
      <c r="BW22" s="54">
        <f t="shared" si="13"/>
        <v>0</v>
      </c>
      <c r="BX22" s="54">
        <f t="shared" si="13"/>
        <v>0</v>
      </c>
      <c r="BY22" s="54">
        <f t="shared" si="13"/>
        <v>0</v>
      </c>
      <c r="BZ22" s="54">
        <f t="shared" si="13"/>
        <v>0</v>
      </c>
      <c r="CA22" s="54">
        <f t="shared" si="13"/>
        <v>0</v>
      </c>
      <c r="CB22" s="54">
        <f t="shared" si="13"/>
        <v>0</v>
      </c>
      <c r="CC22" s="54">
        <f t="shared" si="13"/>
        <v>0</v>
      </c>
      <c r="CD22" s="54">
        <f t="shared" si="13"/>
        <v>0</v>
      </c>
      <c r="CE22" s="54">
        <f t="shared" si="13"/>
        <v>0</v>
      </c>
      <c r="CF22" s="54">
        <f t="shared" si="13"/>
        <v>0</v>
      </c>
      <c r="CG22" s="54">
        <f t="shared" si="13"/>
        <v>0</v>
      </c>
      <c r="CH22" s="54">
        <f t="shared" si="13"/>
        <v>0</v>
      </c>
      <c r="CI22" s="54">
        <f t="shared" si="13"/>
        <v>0</v>
      </c>
      <c r="CJ22" s="54">
        <f t="shared" si="13"/>
        <v>0</v>
      </c>
      <c r="CK22" s="54">
        <f t="shared" si="13"/>
        <v>0</v>
      </c>
      <c r="CL22" s="54">
        <f t="shared" si="13"/>
        <v>0</v>
      </c>
      <c r="CM22" s="54">
        <f t="shared" si="13"/>
        <v>0</v>
      </c>
      <c r="CN22" s="54">
        <f t="shared" si="13"/>
        <v>0</v>
      </c>
      <c r="CO22" s="54">
        <f t="shared" si="13"/>
        <v>0</v>
      </c>
      <c r="CP22" s="54">
        <f t="shared" si="13"/>
        <v>0</v>
      </c>
      <c r="CQ22" s="54">
        <f t="shared" si="13"/>
        <v>0</v>
      </c>
      <c r="CR22" s="54">
        <f t="shared" si="13"/>
        <v>0</v>
      </c>
      <c r="CS22" s="54">
        <f t="shared" si="13"/>
        <v>0</v>
      </c>
      <c r="CT22" s="54">
        <f t="shared" si="13"/>
        <v>0</v>
      </c>
      <c r="CU22" s="54">
        <f t="shared" si="13"/>
        <v>0</v>
      </c>
      <c r="CV22" s="54">
        <f t="shared" si="13"/>
        <v>0</v>
      </c>
      <c r="CW22" s="54">
        <f t="shared" si="13"/>
        <v>0</v>
      </c>
      <c r="CX22" s="54">
        <f t="shared" si="13"/>
        <v>0</v>
      </c>
      <c r="CY22" s="54">
        <f t="shared" si="13"/>
        <v>0</v>
      </c>
      <c r="CZ22" s="54">
        <f t="shared" si="13"/>
        <v>0</v>
      </c>
      <c r="DA22" s="54">
        <f t="shared" si="13"/>
        <v>0</v>
      </c>
      <c r="DB22" s="54">
        <f t="shared" si="13"/>
        <v>0</v>
      </c>
      <c r="DC22" s="54">
        <f t="shared" si="13"/>
        <v>0</v>
      </c>
      <c r="DD22" s="54">
        <f t="shared" si="13"/>
        <v>0</v>
      </c>
      <c r="DE22" s="54">
        <f t="shared" si="13"/>
        <v>0</v>
      </c>
      <c r="DF22" s="54">
        <f t="shared" si="13"/>
        <v>0</v>
      </c>
      <c r="DG22" s="54">
        <f t="shared" si="13"/>
        <v>0</v>
      </c>
      <c r="DH22" s="54">
        <f t="shared" si="13"/>
        <v>0</v>
      </c>
      <c r="DI22" s="54">
        <f t="shared" si="13"/>
        <v>0</v>
      </c>
      <c r="DJ22" s="54">
        <f t="shared" si="13"/>
        <v>0</v>
      </c>
      <c r="DK22" s="54">
        <f t="shared" si="13"/>
        <v>0</v>
      </c>
      <c r="DL22" s="54">
        <f t="shared" si="13"/>
        <v>0</v>
      </c>
      <c r="DM22" s="54">
        <f t="shared" si="13"/>
        <v>0</v>
      </c>
      <c r="DN22" s="54">
        <f t="shared" si="13"/>
        <v>0</v>
      </c>
      <c r="DO22" s="54">
        <f t="shared" si="13"/>
        <v>0</v>
      </c>
      <c r="DP22" s="54">
        <f t="shared" si="13"/>
        <v>0</v>
      </c>
      <c r="DQ22" s="54">
        <f t="shared" si="13"/>
        <v>0</v>
      </c>
      <c r="DR22" s="54">
        <f t="shared" si="13"/>
        <v>0</v>
      </c>
      <c r="DS22" s="54">
        <f t="shared" si="13"/>
        <v>0</v>
      </c>
      <c r="DT22" s="54">
        <f t="shared" si="13"/>
        <v>51140365.35</v>
      </c>
      <c r="DU22" s="54">
        <f t="shared" si="13"/>
        <v>0</v>
      </c>
      <c r="DV22" s="54">
        <f t="shared" si="13"/>
        <v>0</v>
      </c>
      <c r="DW22" s="54">
        <f t="shared" si="13"/>
        <v>0</v>
      </c>
      <c r="DX22" s="54">
        <f t="shared" si="13"/>
        <v>0</v>
      </c>
      <c r="DY22" s="54">
        <f t="shared" si="13"/>
        <v>0</v>
      </c>
      <c r="DZ22" s="54">
        <f t="shared" si="13"/>
        <v>0</v>
      </c>
      <c r="EA22" s="54">
        <f t="shared" si="13"/>
        <v>0</v>
      </c>
      <c r="EB22" s="54">
        <f t="shared" si="13"/>
        <v>0</v>
      </c>
      <c r="EC22" s="54">
        <f t="shared" si="13"/>
        <v>0</v>
      </c>
      <c r="ED22" s="54">
        <f t="shared" si="13"/>
        <v>0</v>
      </c>
      <c r="EE22" s="54">
        <f t="shared" si="13"/>
        <v>0</v>
      </c>
      <c r="EF22" s="54">
        <f t="shared" si="13"/>
        <v>0</v>
      </c>
    </row>
    <row r="23" ht="15.75" customHeight="1">
      <c r="A23" s="1"/>
      <c r="B23" s="1"/>
      <c r="C23" s="1"/>
      <c r="D23" s="92" t="s">
        <v>154</v>
      </c>
      <c r="E23" s="209">
        <f t="shared" ref="E23:EF23" si="14">SUM(E21:E22)</f>
        <v>293154.3104</v>
      </c>
      <c r="F23" s="209">
        <f t="shared" si="14"/>
        <v>293154.3104</v>
      </c>
      <c r="G23" s="209">
        <f t="shared" si="14"/>
        <v>293154.3104</v>
      </c>
      <c r="H23" s="209">
        <f t="shared" si="14"/>
        <v>293154.3104</v>
      </c>
      <c r="I23" s="209">
        <f t="shared" si="14"/>
        <v>293154.3104</v>
      </c>
      <c r="J23" s="209">
        <f t="shared" si="14"/>
        <v>293154.3104</v>
      </c>
      <c r="K23" s="209">
        <f t="shared" si="14"/>
        <v>293154.3104</v>
      </c>
      <c r="L23" s="209">
        <f t="shared" si="14"/>
        <v>293154.3104</v>
      </c>
      <c r="M23" s="209">
        <f t="shared" si="14"/>
        <v>293154.3104</v>
      </c>
      <c r="N23" s="209">
        <f t="shared" si="14"/>
        <v>293154.3104</v>
      </c>
      <c r="O23" s="209">
        <f t="shared" si="14"/>
        <v>293154.3104</v>
      </c>
      <c r="P23" s="209">
        <f t="shared" si="14"/>
        <v>293154.3104</v>
      </c>
      <c r="Q23" s="209">
        <f t="shared" si="14"/>
        <v>341233.8945</v>
      </c>
      <c r="R23" s="209">
        <f t="shared" si="14"/>
        <v>341233.8945</v>
      </c>
      <c r="S23" s="209">
        <f t="shared" si="14"/>
        <v>341233.8945</v>
      </c>
      <c r="T23" s="209">
        <f t="shared" si="14"/>
        <v>341233.8945</v>
      </c>
      <c r="U23" s="209">
        <f t="shared" si="14"/>
        <v>341233.8945</v>
      </c>
      <c r="V23" s="209">
        <f t="shared" si="14"/>
        <v>341233.8945</v>
      </c>
      <c r="W23" s="209">
        <f t="shared" si="14"/>
        <v>341233.8945</v>
      </c>
      <c r="X23" s="209">
        <f t="shared" si="14"/>
        <v>341233.8945</v>
      </c>
      <c r="Y23" s="209">
        <f t="shared" si="14"/>
        <v>341233.8945</v>
      </c>
      <c r="Z23" s="209">
        <f t="shared" si="14"/>
        <v>341233.8945</v>
      </c>
      <c r="AA23" s="209">
        <f t="shared" si="14"/>
        <v>341233.8945</v>
      </c>
      <c r="AB23" s="209">
        <f t="shared" si="14"/>
        <v>341233.8945</v>
      </c>
      <c r="AC23" s="209">
        <f t="shared" si="14"/>
        <v>351470.9114</v>
      </c>
      <c r="AD23" s="209">
        <f t="shared" si="14"/>
        <v>351470.9114</v>
      </c>
      <c r="AE23" s="209">
        <f t="shared" si="14"/>
        <v>351470.9114</v>
      </c>
      <c r="AF23" s="209">
        <f t="shared" si="14"/>
        <v>351470.9114</v>
      </c>
      <c r="AG23" s="209">
        <f t="shared" si="14"/>
        <v>351470.9114</v>
      </c>
      <c r="AH23" s="209">
        <f t="shared" si="14"/>
        <v>351470.9114</v>
      </c>
      <c r="AI23" s="209">
        <f t="shared" si="14"/>
        <v>351470.9114</v>
      </c>
      <c r="AJ23" s="209">
        <f t="shared" si="14"/>
        <v>351470.9114</v>
      </c>
      <c r="AK23" s="209">
        <f t="shared" si="14"/>
        <v>351470.9114</v>
      </c>
      <c r="AL23" s="209">
        <f t="shared" si="14"/>
        <v>351470.9114</v>
      </c>
      <c r="AM23" s="209">
        <f t="shared" si="14"/>
        <v>351470.9114</v>
      </c>
      <c r="AN23" s="209">
        <f t="shared" si="14"/>
        <v>351470.9114</v>
      </c>
      <c r="AO23" s="209">
        <f t="shared" si="14"/>
        <v>139048.5891</v>
      </c>
      <c r="AP23" s="209">
        <f t="shared" si="14"/>
        <v>139048.5891</v>
      </c>
      <c r="AQ23" s="209">
        <f t="shared" si="14"/>
        <v>139048.5891</v>
      </c>
      <c r="AR23" s="209">
        <f t="shared" si="14"/>
        <v>139048.5891</v>
      </c>
      <c r="AS23" s="209">
        <f t="shared" si="14"/>
        <v>139048.5891</v>
      </c>
      <c r="AT23" s="209">
        <f t="shared" si="14"/>
        <v>139048.5891</v>
      </c>
      <c r="AU23" s="209">
        <f t="shared" si="14"/>
        <v>139048.5891</v>
      </c>
      <c r="AV23" s="209">
        <f t="shared" si="14"/>
        <v>139048.5891</v>
      </c>
      <c r="AW23" s="209">
        <f t="shared" si="14"/>
        <v>139048.5891</v>
      </c>
      <c r="AX23" s="209">
        <f t="shared" si="14"/>
        <v>139048.5891</v>
      </c>
      <c r="AY23" s="209">
        <f t="shared" si="14"/>
        <v>139048.5891</v>
      </c>
      <c r="AZ23" s="209">
        <f t="shared" si="14"/>
        <v>139048.5891</v>
      </c>
      <c r="BA23" s="209">
        <f t="shared" si="14"/>
        <v>149909.0403</v>
      </c>
      <c r="BB23" s="209">
        <f t="shared" si="14"/>
        <v>149909.0403</v>
      </c>
      <c r="BC23" s="209">
        <f t="shared" si="14"/>
        <v>149909.0403</v>
      </c>
      <c r="BD23" s="209">
        <f t="shared" si="14"/>
        <v>149909.0403</v>
      </c>
      <c r="BE23" s="209">
        <f t="shared" si="14"/>
        <v>149909.0403</v>
      </c>
      <c r="BF23" s="209">
        <f t="shared" si="14"/>
        <v>149909.0403</v>
      </c>
      <c r="BG23" s="209">
        <f t="shared" si="14"/>
        <v>149909.0403</v>
      </c>
      <c r="BH23" s="209">
        <f t="shared" si="14"/>
        <v>149909.0403</v>
      </c>
      <c r="BI23" s="209">
        <f t="shared" si="14"/>
        <v>149909.0403</v>
      </c>
      <c r="BJ23" s="209">
        <f t="shared" si="14"/>
        <v>149909.0403</v>
      </c>
      <c r="BK23" s="209">
        <f t="shared" si="14"/>
        <v>149909.0403</v>
      </c>
      <c r="BL23" s="209">
        <f t="shared" si="14"/>
        <v>149909.0403</v>
      </c>
      <c r="BM23" s="209">
        <f t="shared" si="14"/>
        <v>161095.3049</v>
      </c>
      <c r="BN23" s="209">
        <f t="shared" si="14"/>
        <v>161095.3049</v>
      </c>
      <c r="BO23" s="209">
        <f t="shared" si="14"/>
        <v>161095.3049</v>
      </c>
      <c r="BP23" s="209">
        <f t="shared" si="14"/>
        <v>161095.3049</v>
      </c>
      <c r="BQ23" s="209">
        <f t="shared" si="14"/>
        <v>161095.3049</v>
      </c>
      <c r="BR23" s="209">
        <f t="shared" si="14"/>
        <v>161095.3049</v>
      </c>
      <c r="BS23" s="209">
        <f t="shared" si="14"/>
        <v>161095.3049</v>
      </c>
      <c r="BT23" s="209">
        <f t="shared" si="14"/>
        <v>161095.3049</v>
      </c>
      <c r="BU23" s="209">
        <f t="shared" si="14"/>
        <v>161095.3049</v>
      </c>
      <c r="BV23" s="209">
        <f t="shared" si="14"/>
        <v>161095.3049</v>
      </c>
      <c r="BW23" s="209">
        <f t="shared" si="14"/>
        <v>161095.3049</v>
      </c>
      <c r="BX23" s="209">
        <f t="shared" si="14"/>
        <v>161095.3049</v>
      </c>
      <c r="BY23" s="209">
        <f t="shared" si="14"/>
        <v>172617.1576</v>
      </c>
      <c r="BZ23" s="209">
        <f t="shared" si="14"/>
        <v>172617.1576</v>
      </c>
      <c r="CA23" s="209">
        <f t="shared" si="14"/>
        <v>172617.1576</v>
      </c>
      <c r="CB23" s="209">
        <f t="shared" si="14"/>
        <v>172617.1576</v>
      </c>
      <c r="CC23" s="209">
        <f t="shared" si="14"/>
        <v>172617.1576</v>
      </c>
      <c r="CD23" s="209">
        <f t="shared" si="14"/>
        <v>172617.1576</v>
      </c>
      <c r="CE23" s="209">
        <f t="shared" si="14"/>
        <v>172617.1576</v>
      </c>
      <c r="CF23" s="209">
        <f t="shared" si="14"/>
        <v>172617.1576</v>
      </c>
      <c r="CG23" s="209">
        <f t="shared" si="14"/>
        <v>172617.1576</v>
      </c>
      <c r="CH23" s="209">
        <f t="shared" si="14"/>
        <v>172617.1576</v>
      </c>
      <c r="CI23" s="209">
        <f t="shared" si="14"/>
        <v>172617.1576</v>
      </c>
      <c r="CJ23" s="209">
        <f t="shared" si="14"/>
        <v>172617.1576</v>
      </c>
      <c r="CK23" s="209">
        <f t="shared" si="14"/>
        <v>184484.6658</v>
      </c>
      <c r="CL23" s="209">
        <f t="shared" si="14"/>
        <v>184484.6658</v>
      </c>
      <c r="CM23" s="209">
        <f t="shared" si="14"/>
        <v>184484.6658</v>
      </c>
      <c r="CN23" s="209">
        <f t="shared" si="14"/>
        <v>184484.6658</v>
      </c>
      <c r="CO23" s="209">
        <f t="shared" si="14"/>
        <v>184484.6658</v>
      </c>
      <c r="CP23" s="209">
        <f t="shared" si="14"/>
        <v>184484.6658</v>
      </c>
      <c r="CQ23" s="209">
        <f t="shared" si="14"/>
        <v>184484.6658</v>
      </c>
      <c r="CR23" s="209">
        <f t="shared" si="14"/>
        <v>184484.6658</v>
      </c>
      <c r="CS23" s="209">
        <f t="shared" si="14"/>
        <v>184484.6658</v>
      </c>
      <c r="CT23" s="209">
        <f t="shared" si="14"/>
        <v>184484.6658</v>
      </c>
      <c r="CU23" s="209">
        <f t="shared" si="14"/>
        <v>184484.6658</v>
      </c>
      <c r="CV23" s="209">
        <f t="shared" si="14"/>
        <v>184484.6658</v>
      </c>
      <c r="CW23" s="209">
        <f t="shared" si="14"/>
        <v>196708.1993</v>
      </c>
      <c r="CX23" s="209">
        <f t="shared" si="14"/>
        <v>196708.1993</v>
      </c>
      <c r="CY23" s="209">
        <f t="shared" si="14"/>
        <v>196708.1993</v>
      </c>
      <c r="CZ23" s="209">
        <f t="shared" si="14"/>
        <v>196708.1993</v>
      </c>
      <c r="DA23" s="209">
        <f t="shared" si="14"/>
        <v>196708.1993</v>
      </c>
      <c r="DB23" s="209">
        <f t="shared" si="14"/>
        <v>196708.1993</v>
      </c>
      <c r="DC23" s="209">
        <f t="shared" si="14"/>
        <v>196708.1993</v>
      </c>
      <c r="DD23" s="209">
        <f t="shared" si="14"/>
        <v>196708.1993</v>
      </c>
      <c r="DE23" s="209">
        <f t="shared" si="14"/>
        <v>196708.1993</v>
      </c>
      <c r="DF23" s="209">
        <f t="shared" si="14"/>
        <v>196708.1993</v>
      </c>
      <c r="DG23" s="209">
        <f t="shared" si="14"/>
        <v>196708.1993</v>
      </c>
      <c r="DH23" s="209">
        <f t="shared" si="14"/>
        <v>196708.1993</v>
      </c>
      <c r="DI23" s="209">
        <f t="shared" si="14"/>
        <v>198054.1029</v>
      </c>
      <c r="DJ23" s="209">
        <f t="shared" si="14"/>
        <v>198054.1029</v>
      </c>
      <c r="DK23" s="209">
        <f t="shared" si="14"/>
        <v>198054.1029</v>
      </c>
      <c r="DL23" s="209">
        <f t="shared" si="14"/>
        <v>198054.1029</v>
      </c>
      <c r="DM23" s="209">
        <f t="shared" si="14"/>
        <v>198054.1029</v>
      </c>
      <c r="DN23" s="209">
        <f t="shared" si="14"/>
        <v>198054.1029</v>
      </c>
      <c r="DO23" s="209">
        <f t="shared" si="14"/>
        <v>198054.1029</v>
      </c>
      <c r="DP23" s="209">
        <f t="shared" si="14"/>
        <v>198054.1029</v>
      </c>
      <c r="DQ23" s="209">
        <f t="shared" si="14"/>
        <v>198054.1029</v>
      </c>
      <c r="DR23" s="209">
        <f t="shared" si="14"/>
        <v>198054.1029</v>
      </c>
      <c r="DS23" s="209">
        <f t="shared" si="14"/>
        <v>198054.1029</v>
      </c>
      <c r="DT23" s="209">
        <f t="shared" si="14"/>
        <v>51338419.45</v>
      </c>
      <c r="DU23" s="209">
        <f t="shared" si="14"/>
        <v>0</v>
      </c>
      <c r="DV23" s="209">
        <f t="shared" si="14"/>
        <v>0</v>
      </c>
      <c r="DW23" s="209">
        <f t="shared" si="14"/>
        <v>0</v>
      </c>
      <c r="DX23" s="209">
        <f t="shared" si="14"/>
        <v>0</v>
      </c>
      <c r="DY23" s="209">
        <f t="shared" si="14"/>
        <v>0</v>
      </c>
      <c r="DZ23" s="209">
        <f t="shared" si="14"/>
        <v>0</v>
      </c>
      <c r="EA23" s="209">
        <f t="shared" si="14"/>
        <v>0</v>
      </c>
      <c r="EB23" s="209">
        <f t="shared" si="14"/>
        <v>0</v>
      </c>
      <c r="EC23" s="209">
        <f t="shared" si="14"/>
        <v>0</v>
      </c>
      <c r="ED23" s="209">
        <f t="shared" si="14"/>
        <v>0</v>
      </c>
      <c r="EE23" s="209">
        <f t="shared" si="14"/>
        <v>0</v>
      </c>
      <c r="EF23" s="209">
        <f t="shared" si="14"/>
        <v>0</v>
      </c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</row>
    <row r="26" ht="15.75" customHeight="1">
      <c r="A26" s="1"/>
      <c r="B26" s="42" t="s">
        <v>113</v>
      </c>
      <c r="C26" s="43"/>
      <c r="D26" s="44"/>
      <c r="E26" s="1"/>
      <c r="F26" s="42" t="s">
        <v>84</v>
      </c>
      <c r="G26" s="43"/>
      <c r="H26" s="44"/>
      <c r="I26" s="1"/>
      <c r="J26" s="42" t="s">
        <v>201</v>
      </c>
      <c r="K26" s="43"/>
      <c r="L26" s="43"/>
      <c r="M26" s="43"/>
      <c r="N26" s="43"/>
      <c r="O26" s="43"/>
      <c r="P26" s="43"/>
      <c r="Q26" s="45"/>
      <c r="R26" s="43"/>
      <c r="S26" s="43"/>
      <c r="T26" s="43"/>
      <c r="U26" s="44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</row>
    <row r="27" ht="15.75" customHeight="1">
      <c r="A27" s="1"/>
      <c r="B27" s="50" t="s">
        <v>115</v>
      </c>
      <c r="C27" s="1"/>
      <c r="D27" s="98">
        <f>Assumptions!D61</f>
        <v>0.06396094046</v>
      </c>
      <c r="E27" s="1"/>
      <c r="F27" s="46" t="s">
        <v>86</v>
      </c>
      <c r="G27" s="92"/>
      <c r="H27" s="241">
        <f>H28+H35</f>
        <v>58685000</v>
      </c>
      <c r="I27" s="1"/>
      <c r="J27" s="50"/>
      <c r="K27" s="1"/>
      <c r="L27" s="1"/>
      <c r="M27" s="1"/>
      <c r="N27" s="1"/>
      <c r="O27" s="1"/>
      <c r="P27" s="1"/>
      <c r="Q27" s="1"/>
      <c r="R27" s="1"/>
      <c r="S27" s="1"/>
      <c r="T27" s="1"/>
      <c r="U27" s="82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</row>
    <row r="28" ht="15.75" customHeight="1">
      <c r="A28" s="1"/>
      <c r="B28" s="50" t="s">
        <v>116</v>
      </c>
      <c r="C28" s="1"/>
      <c r="D28" s="94">
        <f>(Assumptions!D62+Assumptions!L62+Assumptions!T62+Assumptions!AB62)</f>
        <v>55000000</v>
      </c>
      <c r="E28" s="1"/>
      <c r="F28" s="95" t="s">
        <v>88</v>
      </c>
      <c r="G28" s="96"/>
      <c r="H28" s="305">
        <f>H38-H35</f>
        <v>20185000</v>
      </c>
      <c r="I28" s="1"/>
      <c r="J28" s="46" t="s">
        <v>136</v>
      </c>
      <c r="K28" s="47">
        <v>0.0</v>
      </c>
      <c r="L28" s="63">
        <v>1.0</v>
      </c>
      <c r="M28" s="63">
        <v>2.0</v>
      </c>
      <c r="N28" s="63">
        <v>3.0</v>
      </c>
      <c r="O28" s="63">
        <v>4.0</v>
      </c>
      <c r="P28" s="63">
        <v>5.0</v>
      </c>
      <c r="Q28" s="63">
        <v>6.0</v>
      </c>
      <c r="R28" s="63">
        <v>7.0</v>
      </c>
      <c r="S28" s="63">
        <v>8.0</v>
      </c>
      <c r="T28" s="63">
        <v>9.0</v>
      </c>
      <c r="U28" s="306">
        <v>10.0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</row>
    <row r="29" ht="15.75" customHeight="1">
      <c r="A29" s="1"/>
      <c r="B29" s="50" t="s">
        <v>118</v>
      </c>
      <c r="C29" s="1"/>
      <c r="D29" s="98">
        <f>D30-D27</f>
        <v>-0.003960940459</v>
      </c>
      <c r="E29" s="1"/>
      <c r="F29" s="50" t="s">
        <v>90</v>
      </c>
      <c r="G29" s="59">
        <f>Assumptions!C44</f>
        <v>0.1</v>
      </c>
      <c r="H29" s="106">
        <f t="shared" ref="H29:H30" si="16">G29*H28</f>
        <v>2018500</v>
      </c>
      <c r="I29" s="1"/>
      <c r="J29" s="50" t="s">
        <v>68</v>
      </c>
      <c r="K29" s="1"/>
      <c r="L29" s="209">
        <f t="shared" ref="L29:U29" si="15">SUMIF($E$2:$EF$2,L$28,$E4:$EF4)</f>
        <v>6709833.078</v>
      </c>
      <c r="M29" s="209">
        <f t="shared" si="15"/>
        <v>7388475.755</v>
      </c>
      <c r="N29" s="209">
        <f t="shared" si="15"/>
        <v>7610130.027</v>
      </c>
      <c r="O29" s="209">
        <f t="shared" si="15"/>
        <v>7838433.928</v>
      </c>
      <c r="P29" s="209">
        <f t="shared" si="15"/>
        <v>8073586.946</v>
      </c>
      <c r="Q29" s="209">
        <f t="shared" si="15"/>
        <v>8315794.554</v>
      </c>
      <c r="R29" s="209">
        <f t="shared" si="15"/>
        <v>8565268.391</v>
      </c>
      <c r="S29" s="209">
        <f t="shared" si="15"/>
        <v>8822226.443</v>
      </c>
      <c r="T29" s="209">
        <f t="shared" si="15"/>
        <v>9086893.236</v>
      </c>
      <c r="U29" s="307">
        <f t="shared" si="15"/>
        <v>9220394.848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</row>
    <row r="30" ht="15.75" customHeight="1">
      <c r="A30" s="1"/>
      <c r="B30" s="50" t="s">
        <v>119</v>
      </c>
      <c r="C30" s="1"/>
      <c r="D30" s="98">
        <f>Assumptions!D64</f>
        <v>0.06</v>
      </c>
      <c r="E30" s="1"/>
      <c r="F30" s="100" t="s">
        <v>92</v>
      </c>
      <c r="G30" s="59">
        <f>Assumptions!C45</f>
        <v>0.2</v>
      </c>
      <c r="H30" s="106">
        <f t="shared" si="16"/>
        <v>403700</v>
      </c>
      <c r="I30" s="1"/>
      <c r="J30" s="253" t="s">
        <v>82</v>
      </c>
      <c r="K30" s="6"/>
      <c r="L30" s="54">
        <f t="shared" ref="L30:U30" si="17">SUMIF($E$2:$EF$2,L$28,$E5:$EF5)</f>
        <v>-3191981.352</v>
      </c>
      <c r="M30" s="54">
        <f t="shared" si="17"/>
        <v>-3293669.02</v>
      </c>
      <c r="N30" s="54">
        <f t="shared" si="17"/>
        <v>-3392479.091</v>
      </c>
      <c r="O30" s="54">
        <f t="shared" si="17"/>
        <v>-3494253.464</v>
      </c>
      <c r="P30" s="54">
        <f t="shared" si="17"/>
        <v>-3599081.068</v>
      </c>
      <c r="Q30" s="54">
        <f t="shared" si="17"/>
        <v>-3707053.5</v>
      </c>
      <c r="R30" s="54">
        <f t="shared" si="17"/>
        <v>-3818265.105</v>
      </c>
      <c r="S30" s="54">
        <f t="shared" si="17"/>
        <v>-3932813.058</v>
      </c>
      <c r="T30" s="54">
        <f t="shared" si="17"/>
        <v>-4050797.449</v>
      </c>
      <c r="U30" s="106">
        <f t="shared" si="17"/>
        <v>-4168148.217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</row>
    <row r="31" ht="15.75" customHeight="1">
      <c r="A31" s="1"/>
      <c r="B31" s="50" t="s">
        <v>120</v>
      </c>
      <c r="C31" s="1"/>
      <c r="D31" s="98">
        <f>Assumptions!D65</f>
        <v>0.02</v>
      </c>
      <c r="E31" s="1"/>
      <c r="F31" s="100" t="s">
        <v>94</v>
      </c>
      <c r="G31" s="59">
        <f>Assumptions!C46</f>
        <v>0.8</v>
      </c>
      <c r="H31" s="106">
        <f>G31*H29</f>
        <v>1614800</v>
      </c>
      <c r="I31" s="1"/>
      <c r="J31" s="50"/>
      <c r="K31" s="70"/>
      <c r="L31" s="1"/>
      <c r="M31" s="1"/>
      <c r="N31" s="1"/>
      <c r="O31" s="1"/>
      <c r="P31" s="1"/>
      <c r="Q31" s="1"/>
      <c r="R31" s="1"/>
      <c r="S31" s="1"/>
      <c r="T31" s="1"/>
      <c r="U31" s="82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</row>
    <row r="32" ht="15.75" customHeight="1">
      <c r="A32" s="1"/>
      <c r="B32" s="103" t="s">
        <v>122</v>
      </c>
      <c r="C32" s="1"/>
      <c r="D32" s="98">
        <f>Assumptions!D66</f>
        <v>0.1</v>
      </c>
      <c r="E32" s="1"/>
      <c r="F32" s="50"/>
      <c r="G32" s="59"/>
      <c r="H32" s="82"/>
      <c r="I32" s="1"/>
      <c r="J32" s="46" t="s">
        <v>83</v>
      </c>
      <c r="K32" s="47"/>
      <c r="L32" s="209">
        <f t="shared" ref="L32:U32" si="18">L29+L30</f>
        <v>3517851.725</v>
      </c>
      <c r="M32" s="209">
        <f t="shared" si="18"/>
        <v>4094806.734</v>
      </c>
      <c r="N32" s="209">
        <f t="shared" si="18"/>
        <v>4217650.936</v>
      </c>
      <c r="O32" s="209">
        <f t="shared" si="18"/>
        <v>4344180.464</v>
      </c>
      <c r="P32" s="209">
        <f t="shared" si="18"/>
        <v>4474505.878</v>
      </c>
      <c r="Q32" s="209">
        <f t="shared" si="18"/>
        <v>4608741.055</v>
      </c>
      <c r="R32" s="209">
        <f t="shared" si="18"/>
        <v>4747003.286</v>
      </c>
      <c r="S32" s="209">
        <f t="shared" si="18"/>
        <v>4889413.385</v>
      </c>
      <c r="T32" s="209">
        <f t="shared" si="18"/>
        <v>5036095.786</v>
      </c>
      <c r="U32" s="307">
        <f t="shared" si="18"/>
        <v>5052246.631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</row>
    <row r="33" ht="15.75" customHeight="1">
      <c r="A33" s="1"/>
      <c r="B33" s="50" t="str">
        <f>Assumptions!B67</f>
        <v>Exit Vacancy</v>
      </c>
      <c r="C33" s="92"/>
      <c r="D33" s="308">
        <f>Assumptions!D67</f>
        <v>0.05</v>
      </c>
      <c r="E33" s="1"/>
      <c r="F33" s="103" t="s">
        <v>97</v>
      </c>
      <c r="G33" s="104">
        <f>Assumptions!C48</f>
        <v>0.9</v>
      </c>
      <c r="H33" s="236">
        <f>H28*G33</f>
        <v>18166500</v>
      </c>
      <c r="I33" s="1"/>
      <c r="J33" s="50"/>
      <c r="K33" s="1"/>
      <c r="L33" s="54"/>
      <c r="M33" s="54"/>
      <c r="N33" s="54"/>
      <c r="O33" s="54"/>
      <c r="P33" s="54"/>
      <c r="Q33" s="54"/>
      <c r="R33" s="54"/>
      <c r="S33" s="54"/>
      <c r="T33" s="54"/>
      <c r="U33" s="106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</row>
    <row r="34" ht="15.75" customHeight="1">
      <c r="A34" s="1"/>
      <c r="B34" s="242" t="s">
        <v>125</v>
      </c>
      <c r="C34" s="309"/>
      <c r="D34" s="310">
        <f>Assumptions!D68</f>
        <v>10</v>
      </c>
      <c r="E34" s="1"/>
      <c r="F34" s="50"/>
      <c r="G34" s="1"/>
      <c r="H34" s="82"/>
      <c r="I34" s="1"/>
      <c r="J34" s="50" t="s">
        <v>149</v>
      </c>
      <c r="K34" s="70"/>
      <c r="L34" s="217">
        <f t="shared" ref="L34:U34" si="19">-L30/L29</f>
        <v>0.4757169538</v>
      </c>
      <c r="M34" s="217">
        <f t="shared" si="19"/>
        <v>0.4457846422</v>
      </c>
      <c r="N34" s="217">
        <f t="shared" si="19"/>
        <v>0.4457846422</v>
      </c>
      <c r="O34" s="217">
        <f t="shared" si="19"/>
        <v>0.4457846422</v>
      </c>
      <c r="P34" s="217">
        <f t="shared" si="19"/>
        <v>0.4457846422</v>
      </c>
      <c r="Q34" s="217">
        <f t="shared" si="19"/>
        <v>0.4457846422</v>
      </c>
      <c r="R34" s="217">
        <f t="shared" si="19"/>
        <v>0.4457846422</v>
      </c>
      <c r="S34" s="217">
        <f t="shared" si="19"/>
        <v>0.4457846422</v>
      </c>
      <c r="T34" s="217">
        <f t="shared" si="19"/>
        <v>0.4457846422</v>
      </c>
      <c r="U34" s="311">
        <f t="shared" si="19"/>
        <v>0.4520574537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</row>
    <row r="35" ht="15.75" customHeight="1">
      <c r="A35" s="1"/>
      <c r="B35" s="1"/>
      <c r="C35" s="1"/>
      <c r="D35" s="1"/>
      <c r="E35" s="1"/>
      <c r="F35" s="107" t="s">
        <v>99</v>
      </c>
      <c r="G35" s="40"/>
      <c r="H35" s="312">
        <f>H36</f>
        <v>38500000</v>
      </c>
      <c r="I35" s="1"/>
      <c r="J35" s="50" t="s">
        <v>150</v>
      </c>
      <c r="K35" s="1"/>
      <c r="L35" s="54">
        <f t="shared" ref="L35:U35" si="20">SUMIF($E$2:$EF$2,L$28,$E12:$EF12)</f>
        <v>0</v>
      </c>
      <c r="M35" s="54">
        <f t="shared" si="20"/>
        <v>0</v>
      </c>
      <c r="N35" s="54">
        <f t="shared" si="20"/>
        <v>0</v>
      </c>
      <c r="O35" s="54">
        <f t="shared" si="20"/>
        <v>2675597.395</v>
      </c>
      <c r="P35" s="54">
        <f t="shared" si="20"/>
        <v>2675597.395</v>
      </c>
      <c r="Q35" s="54">
        <f t="shared" si="20"/>
        <v>2675597.395</v>
      </c>
      <c r="R35" s="54">
        <f t="shared" si="20"/>
        <v>2675597.395</v>
      </c>
      <c r="S35" s="54">
        <f t="shared" si="20"/>
        <v>2675597.395</v>
      </c>
      <c r="T35" s="54">
        <f t="shared" si="20"/>
        <v>2675597.395</v>
      </c>
      <c r="U35" s="106">
        <f t="shared" si="20"/>
        <v>2675597.395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</row>
    <row r="36" ht="15.75" customHeight="1">
      <c r="A36" s="1"/>
      <c r="B36" s="1"/>
      <c r="C36" s="1"/>
      <c r="D36" s="1"/>
      <c r="E36" s="1"/>
      <c r="F36" s="50" t="s">
        <v>101</v>
      </c>
      <c r="G36" s="1"/>
      <c r="H36" s="106">
        <f>D38</f>
        <v>38500000</v>
      </c>
      <c r="I36" s="1"/>
      <c r="J36" s="50"/>
      <c r="K36" s="1"/>
      <c r="L36" s="54"/>
      <c r="M36" s="54"/>
      <c r="N36" s="54"/>
      <c r="O36" s="54"/>
      <c r="P36" s="54"/>
      <c r="Q36" s="54"/>
      <c r="R36" s="54"/>
      <c r="S36" s="54"/>
      <c r="T36" s="54"/>
      <c r="U36" s="106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</row>
    <row r="37" ht="15.75" customHeight="1">
      <c r="A37" s="1"/>
      <c r="B37" s="313" t="s">
        <v>85</v>
      </c>
      <c r="C37" s="314"/>
      <c r="D37" s="315"/>
      <c r="E37" s="1"/>
      <c r="F37" s="103"/>
      <c r="G37" s="1"/>
      <c r="H37" s="82"/>
      <c r="I37" s="1"/>
      <c r="J37" s="50" t="s">
        <v>151</v>
      </c>
      <c r="K37" s="1"/>
      <c r="L37" s="54">
        <f t="shared" ref="L37:U37" si="21">SUMIF($E$2:$EF$2,L$28,$E19:$EF19)</f>
        <v>0</v>
      </c>
      <c r="M37" s="54">
        <f t="shared" si="21"/>
        <v>0</v>
      </c>
      <c r="N37" s="54">
        <f t="shared" si="21"/>
        <v>0</v>
      </c>
      <c r="O37" s="54">
        <f t="shared" si="21"/>
        <v>0</v>
      </c>
      <c r="P37" s="54">
        <f t="shared" si="21"/>
        <v>0</v>
      </c>
      <c r="Q37" s="54">
        <f t="shared" si="21"/>
        <v>0</v>
      </c>
      <c r="R37" s="54">
        <f t="shared" si="21"/>
        <v>0</v>
      </c>
      <c r="S37" s="54">
        <f t="shared" si="21"/>
        <v>0</v>
      </c>
      <c r="T37" s="54">
        <f t="shared" si="21"/>
        <v>0</v>
      </c>
      <c r="U37" s="106">
        <f t="shared" si="21"/>
        <v>51140365.35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</row>
    <row r="38" ht="15.75" customHeight="1">
      <c r="A38" s="1"/>
      <c r="B38" s="50" t="s">
        <v>87</v>
      </c>
      <c r="C38" s="1"/>
      <c r="D38" s="94">
        <f>D51</f>
        <v>38500000</v>
      </c>
      <c r="E38" s="1"/>
      <c r="F38" s="46" t="s">
        <v>103</v>
      </c>
      <c r="G38" s="92"/>
      <c r="H38" s="241">
        <f>SUM(H39:H42)</f>
        <v>58685000</v>
      </c>
      <c r="I38" s="1"/>
      <c r="J38" s="50"/>
      <c r="K38" s="1"/>
      <c r="L38" s="54"/>
      <c r="M38" s="54"/>
      <c r="N38" s="54"/>
      <c r="O38" s="54"/>
      <c r="P38" s="54"/>
      <c r="Q38" s="54"/>
      <c r="R38" s="54"/>
      <c r="S38" s="54"/>
      <c r="T38" s="54"/>
      <c r="U38" s="106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</row>
    <row r="39" ht="15.75" customHeight="1">
      <c r="A39" s="1"/>
      <c r="B39" s="50" t="s">
        <v>89</v>
      </c>
      <c r="C39" s="1"/>
      <c r="D39" s="98">
        <f>Assumptions!H43</f>
        <v>0.7</v>
      </c>
      <c r="E39" s="1"/>
      <c r="F39" s="50" t="s">
        <v>105</v>
      </c>
      <c r="G39" s="1"/>
      <c r="H39" s="106">
        <f>(Assumptions!D62+Assumptions!L62+Assumptions!T62+Assumptions!AB62)</f>
        <v>55000000</v>
      </c>
      <c r="I39" s="1"/>
      <c r="J39" s="50" t="s">
        <v>152</v>
      </c>
      <c r="K39" s="1"/>
      <c r="L39" s="54">
        <f t="shared" ref="L39:U39" si="22">SUMIF($E$2:$EF$2,L$28,$E21:$EF21)</f>
        <v>3517851.725</v>
      </c>
      <c r="M39" s="54">
        <f t="shared" si="22"/>
        <v>4094806.734</v>
      </c>
      <c r="N39" s="54">
        <f t="shared" si="22"/>
        <v>4217650.936</v>
      </c>
      <c r="O39" s="54">
        <f t="shared" si="22"/>
        <v>1668583.069</v>
      </c>
      <c r="P39" s="54">
        <f t="shared" si="22"/>
        <v>1798908.483</v>
      </c>
      <c r="Q39" s="54">
        <f t="shared" si="22"/>
        <v>1933143.659</v>
      </c>
      <c r="R39" s="54">
        <f t="shared" si="22"/>
        <v>2071405.891</v>
      </c>
      <c r="S39" s="54">
        <f t="shared" si="22"/>
        <v>2213815.99</v>
      </c>
      <c r="T39" s="54">
        <f t="shared" si="22"/>
        <v>2360498.391</v>
      </c>
      <c r="U39" s="106">
        <f t="shared" si="22"/>
        <v>2376649.235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</row>
    <row r="40" ht="15.75" customHeight="1">
      <c r="A40" s="1"/>
      <c r="B40" s="50" t="s">
        <v>91</v>
      </c>
      <c r="C40" s="1"/>
      <c r="D40" s="98">
        <f>Assumptions!H44</f>
        <v>0.0568</v>
      </c>
      <c r="E40" s="1"/>
      <c r="F40" s="50" t="s">
        <v>107</v>
      </c>
      <c r="G40" s="32">
        <f>Assumptions!C55</f>
        <v>0.01</v>
      </c>
      <c r="H40" s="106">
        <f>G40*H39</f>
        <v>550000</v>
      </c>
      <c r="I40" s="1"/>
      <c r="J40" s="50" t="s">
        <v>153</v>
      </c>
      <c r="K40" s="1"/>
      <c r="L40" s="54">
        <f t="shared" ref="L40:U40" si="23">L37</f>
        <v>0</v>
      </c>
      <c r="M40" s="54">
        <f t="shared" si="23"/>
        <v>0</v>
      </c>
      <c r="N40" s="54">
        <f t="shared" si="23"/>
        <v>0</v>
      </c>
      <c r="O40" s="54">
        <f t="shared" si="23"/>
        <v>0</v>
      </c>
      <c r="P40" s="54">
        <f t="shared" si="23"/>
        <v>0</v>
      </c>
      <c r="Q40" s="54">
        <f t="shared" si="23"/>
        <v>0</v>
      </c>
      <c r="R40" s="54">
        <f t="shared" si="23"/>
        <v>0</v>
      </c>
      <c r="S40" s="54">
        <f t="shared" si="23"/>
        <v>0</v>
      </c>
      <c r="T40" s="54">
        <f t="shared" si="23"/>
        <v>0</v>
      </c>
      <c r="U40" s="106">
        <f t="shared" si="23"/>
        <v>51140365.35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</row>
    <row r="41" ht="15.75" customHeight="1">
      <c r="A41" s="1"/>
      <c r="B41" s="50" t="s">
        <v>93</v>
      </c>
      <c r="C41" s="1"/>
      <c r="D41" s="82">
        <f>Assumptions!H45</f>
        <v>30</v>
      </c>
      <c r="E41" s="1"/>
      <c r="F41" s="50" t="s">
        <v>98</v>
      </c>
      <c r="G41" s="1"/>
      <c r="H41" s="106">
        <f>D44</f>
        <v>385000</v>
      </c>
      <c r="I41" s="1"/>
      <c r="J41" s="46" t="s">
        <v>154</v>
      </c>
      <c r="K41" s="209">
        <f>-H28</f>
        <v>-20185000</v>
      </c>
      <c r="L41" s="209">
        <f t="shared" ref="L41:U41" si="24">SUM(L39:L40)</f>
        <v>3517851.725</v>
      </c>
      <c r="M41" s="209">
        <f t="shared" si="24"/>
        <v>4094806.734</v>
      </c>
      <c r="N41" s="209">
        <f t="shared" si="24"/>
        <v>4217650.936</v>
      </c>
      <c r="O41" s="209">
        <f t="shared" si="24"/>
        <v>1668583.069</v>
      </c>
      <c r="P41" s="209">
        <f t="shared" si="24"/>
        <v>1798908.483</v>
      </c>
      <c r="Q41" s="209">
        <f t="shared" si="24"/>
        <v>1933143.659</v>
      </c>
      <c r="R41" s="209">
        <f t="shared" si="24"/>
        <v>2071405.891</v>
      </c>
      <c r="S41" s="209">
        <f t="shared" si="24"/>
        <v>2213815.99</v>
      </c>
      <c r="T41" s="209">
        <f t="shared" si="24"/>
        <v>2360498.391</v>
      </c>
      <c r="U41" s="307">
        <f t="shared" si="24"/>
        <v>53517014.58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</row>
    <row r="42" ht="15.75" customHeight="1">
      <c r="A42" s="1"/>
      <c r="B42" s="50" t="s">
        <v>95</v>
      </c>
      <c r="C42" s="1"/>
      <c r="D42" s="82">
        <f>Assumptions!H46</f>
        <v>10</v>
      </c>
      <c r="E42" s="1"/>
      <c r="F42" s="50" t="s">
        <v>110</v>
      </c>
      <c r="G42" s="32">
        <f>Assumptions!C57</f>
        <v>0.05</v>
      </c>
      <c r="H42" s="106">
        <f>H39*G42</f>
        <v>2750000</v>
      </c>
      <c r="I42" s="1"/>
      <c r="J42" s="50"/>
      <c r="K42" s="1"/>
      <c r="L42" s="54"/>
      <c r="M42" s="54"/>
      <c r="N42" s="54"/>
      <c r="O42" s="54"/>
      <c r="P42" s="54"/>
      <c r="Q42" s="54"/>
      <c r="R42" s="54"/>
      <c r="S42" s="54"/>
      <c r="T42" s="54"/>
      <c r="U42" s="106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</row>
    <row r="43" ht="15.75" customHeight="1">
      <c r="A43" s="1"/>
      <c r="B43" s="50" t="s">
        <v>96</v>
      </c>
      <c r="C43" s="1"/>
      <c r="D43" s="101">
        <f>Assumptions!H47</f>
        <v>36</v>
      </c>
      <c r="E43" s="1"/>
      <c r="F43" s="242" t="s">
        <v>111</v>
      </c>
      <c r="G43" s="316"/>
      <c r="H43" s="317">
        <f>H27-H38</f>
        <v>0</v>
      </c>
      <c r="I43" s="1"/>
      <c r="J43" s="50" t="s">
        <v>155</v>
      </c>
      <c r="K43" s="1"/>
      <c r="L43" s="318">
        <f t="shared" ref="L43:U43" si="25">L41/$H$28</f>
        <v>0.1742804917</v>
      </c>
      <c r="M43" s="318">
        <f t="shared" si="25"/>
        <v>0.2028638461</v>
      </c>
      <c r="N43" s="318">
        <f t="shared" si="25"/>
        <v>0.2089497615</v>
      </c>
      <c r="O43" s="318">
        <f t="shared" si="25"/>
        <v>0.08266450677</v>
      </c>
      <c r="P43" s="318">
        <f t="shared" si="25"/>
        <v>0.0891210544</v>
      </c>
      <c r="Q43" s="318">
        <f t="shared" si="25"/>
        <v>0.09577129846</v>
      </c>
      <c r="R43" s="318">
        <f t="shared" si="25"/>
        <v>0.1026210498</v>
      </c>
      <c r="S43" s="318">
        <f t="shared" si="25"/>
        <v>0.1096762938</v>
      </c>
      <c r="T43" s="318">
        <f t="shared" si="25"/>
        <v>0.116943195</v>
      </c>
      <c r="U43" s="319">
        <f t="shared" si="25"/>
        <v>2.651325964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</row>
    <row r="44" ht="15.75" customHeight="1">
      <c r="A44" s="1"/>
      <c r="B44" s="103" t="s">
        <v>98</v>
      </c>
      <c r="C44" s="104">
        <f>Assumptions!G48</f>
        <v>0.01</v>
      </c>
      <c r="D44" s="236">
        <f>D38*C44</f>
        <v>385000</v>
      </c>
      <c r="E44" s="1"/>
      <c r="F44" s="1"/>
      <c r="G44" s="1"/>
      <c r="H44" s="1"/>
      <c r="I44" s="1"/>
      <c r="J44" s="253" t="s">
        <v>156</v>
      </c>
      <c r="K44" s="6"/>
      <c r="L44" s="220">
        <f>MIN(L43:U43)</f>
        <v>0.08266450677</v>
      </c>
      <c r="M44" s="54"/>
      <c r="N44" s="54"/>
      <c r="O44" s="54"/>
      <c r="P44" s="54"/>
      <c r="Q44" s="54"/>
      <c r="R44" s="54"/>
      <c r="S44" s="54"/>
      <c r="T44" s="54"/>
      <c r="U44" s="106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</row>
    <row r="45" ht="15.75" customHeight="1">
      <c r="A45" s="1"/>
      <c r="B45" s="50"/>
      <c r="C45" s="1"/>
      <c r="D45" s="82"/>
      <c r="E45" s="1"/>
      <c r="F45" s="1"/>
      <c r="G45" s="1"/>
      <c r="H45" s="1"/>
      <c r="I45" s="1"/>
      <c r="J45" s="50"/>
      <c r="K45" s="1"/>
      <c r="L45" s="54"/>
      <c r="M45" s="54"/>
      <c r="N45" s="54"/>
      <c r="O45" s="54"/>
      <c r="P45" s="54"/>
      <c r="Q45" s="54"/>
      <c r="R45" s="54"/>
      <c r="S45" s="54"/>
      <c r="T45" s="54"/>
      <c r="U45" s="106"/>
      <c r="V45" s="1"/>
      <c r="W45" s="1"/>
      <c r="X45" s="1"/>
      <c r="Y45" s="1"/>
      <c r="Z45" s="1"/>
      <c r="AA45" s="1"/>
      <c r="AB45" s="1" t="s">
        <v>202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</row>
    <row r="46" ht="15.75" customHeight="1">
      <c r="A46" s="1"/>
      <c r="B46" s="235" t="s">
        <v>100</v>
      </c>
      <c r="C46" s="110"/>
      <c r="D46" s="111"/>
      <c r="E46" s="1"/>
      <c r="F46" s="1"/>
      <c r="G46" s="1"/>
      <c r="H46" s="1"/>
      <c r="I46" s="1"/>
      <c r="J46" s="50" t="s">
        <v>114</v>
      </c>
      <c r="K46" s="1"/>
      <c r="L46" s="225">
        <f t="shared" ref="L46:U46" si="26">IFERROR(L32/L35,0)</f>
        <v>0</v>
      </c>
      <c r="M46" s="225">
        <f t="shared" si="26"/>
        <v>0</v>
      </c>
      <c r="N46" s="225">
        <f t="shared" si="26"/>
        <v>0</v>
      </c>
      <c r="O46" s="225">
        <f t="shared" si="26"/>
        <v>1.623630099</v>
      </c>
      <c r="P46" s="225">
        <f t="shared" si="26"/>
        <v>1.672339002</v>
      </c>
      <c r="Q46" s="225">
        <f t="shared" si="26"/>
        <v>1.722509172</v>
      </c>
      <c r="R46" s="225">
        <f t="shared" si="26"/>
        <v>1.774184447</v>
      </c>
      <c r="S46" s="225">
        <f t="shared" si="26"/>
        <v>1.827409981</v>
      </c>
      <c r="T46" s="225">
        <f t="shared" si="26"/>
        <v>1.88223228</v>
      </c>
      <c r="U46" s="320">
        <f t="shared" si="26"/>
        <v>1.888268631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</row>
    <row r="47" ht="15.75" customHeight="1">
      <c r="A47" s="1"/>
      <c r="B47" s="50" t="s">
        <v>104</v>
      </c>
      <c r="C47" s="1"/>
      <c r="D47" s="113">
        <f>Assumptions!H43</f>
        <v>0.7</v>
      </c>
      <c r="E47" s="1"/>
      <c r="F47" s="1"/>
      <c r="G47" s="1"/>
      <c r="H47" s="1"/>
      <c r="I47" s="1"/>
      <c r="J47" s="321" t="s">
        <v>156</v>
      </c>
      <c r="K47" s="316"/>
      <c r="L47" s="322">
        <f>MINIFS(L46:U46,L46:U46, "&gt;0")</f>
        <v>1.623630099</v>
      </c>
      <c r="M47" s="323"/>
      <c r="N47" s="323"/>
      <c r="O47" s="323"/>
      <c r="P47" s="323"/>
      <c r="Q47" s="323"/>
      <c r="R47" s="323"/>
      <c r="S47" s="323"/>
      <c r="T47" s="323"/>
      <c r="U47" s="317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</row>
    <row r="48" ht="15.75" customHeight="1">
      <c r="A48" s="1"/>
      <c r="B48" s="50" t="s">
        <v>106</v>
      </c>
      <c r="C48" s="1"/>
      <c r="D48" s="94">
        <v>389099.9046218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</row>
    <row r="49" ht="15.75" customHeight="1">
      <c r="A49" s="1"/>
      <c r="B49" s="50" t="s">
        <v>108</v>
      </c>
      <c r="C49" s="1"/>
      <c r="D49" s="113">
        <f>D27</f>
        <v>0.06396094046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</row>
    <row r="50" ht="15.75" customHeight="1">
      <c r="A50" s="1"/>
      <c r="B50" s="50" t="s">
        <v>109</v>
      </c>
      <c r="C50" s="1"/>
      <c r="D50" s="94">
        <f>H39</f>
        <v>55000000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</row>
    <row r="51" ht="15.75" customHeight="1">
      <c r="A51" s="1"/>
      <c r="B51" s="140" t="s">
        <v>87</v>
      </c>
      <c r="C51" s="141"/>
      <c r="D51" s="324">
        <f>D47*D50</f>
        <v>38500000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54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325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325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70"/>
      <c r="K67" s="70"/>
      <c r="L67" s="273"/>
      <c r="M67" s="1"/>
      <c r="N67" s="1"/>
      <c r="O67" s="325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0CECE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71"/>
    <col customWidth="1" min="2" max="2" width="33.43"/>
    <col customWidth="1" min="3" max="3" width="16.14"/>
    <col customWidth="1" min="4" max="4" width="11.43"/>
    <col customWidth="1" min="5" max="5" width="15.43"/>
    <col customWidth="1" min="6" max="6" width="26.86"/>
    <col customWidth="1" min="7" max="7" width="12.0"/>
    <col customWidth="1" min="8" max="8" width="11.43"/>
    <col customWidth="1" min="9" max="9" width="11.86"/>
    <col customWidth="1" min="10" max="10" width="33.43"/>
    <col customWidth="1" min="11" max="11" width="9.71"/>
    <col customWidth="1" min="12" max="12" width="15.71"/>
    <col customWidth="1" min="13" max="13" width="13.71"/>
    <col customWidth="1" min="14" max="14" width="26.86"/>
    <col customWidth="1" min="15" max="15" width="12.86"/>
    <col customWidth="1" min="16" max="16" width="12.29"/>
    <col customWidth="1" min="17" max="17" width="14.71"/>
    <col customWidth="1" min="18" max="18" width="33.43"/>
    <col customWidth="1" min="19" max="19" width="9.14"/>
    <col customWidth="1" min="20" max="20" width="15.86"/>
    <col customWidth="1" min="21" max="21" width="12.43"/>
    <col customWidth="1" min="22" max="22" width="26.86"/>
    <col customWidth="1" min="23" max="23" width="12.86"/>
    <col customWidth="1" min="24" max="24" width="13.14"/>
    <col customWidth="1" min="25" max="25" width="14.71"/>
    <col customWidth="1" min="26" max="26" width="33.43"/>
    <col customWidth="1" min="27" max="27" width="10.29"/>
    <col customWidth="1" min="28" max="28" width="12.71"/>
    <col customWidth="1" min="29" max="29" width="14.29"/>
    <col customWidth="1" min="30" max="30" width="26.86"/>
    <col customWidth="1" min="31" max="31" width="12.86"/>
    <col customWidth="1" min="32" max="32" width="13.43"/>
  </cols>
  <sheetData>
    <row r="1" ht="15.75" customHeight="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</row>
    <row r="2" ht="15.75" customHeight="1">
      <c r="A2" s="41"/>
      <c r="B2" s="42" t="s">
        <v>39</v>
      </c>
      <c r="C2" s="43"/>
      <c r="D2" s="43"/>
      <c r="E2" s="43"/>
      <c r="F2" s="43"/>
      <c r="G2" s="43"/>
      <c r="H2" s="44"/>
      <c r="I2" s="41"/>
      <c r="J2" s="42" t="s">
        <v>40</v>
      </c>
      <c r="K2" s="45"/>
      <c r="L2" s="43"/>
      <c r="M2" s="43"/>
      <c r="N2" s="43"/>
      <c r="O2" s="43"/>
      <c r="P2" s="44"/>
      <c r="Q2" s="41"/>
      <c r="R2" s="42" t="s">
        <v>41</v>
      </c>
      <c r="S2" s="45"/>
      <c r="T2" s="43"/>
      <c r="U2" s="43"/>
      <c r="V2" s="43"/>
      <c r="W2" s="43"/>
      <c r="X2" s="44"/>
      <c r="Y2" s="41"/>
      <c r="Z2" s="42" t="s">
        <v>42</v>
      </c>
      <c r="AA2" s="45"/>
      <c r="AB2" s="43"/>
      <c r="AC2" s="43"/>
      <c r="AD2" s="43"/>
      <c r="AE2" s="43"/>
      <c r="AF2" s="44"/>
    </row>
    <row r="3" ht="15.75" customHeight="1">
      <c r="A3" s="41"/>
      <c r="B3" s="46" t="s">
        <v>43</v>
      </c>
      <c r="C3" s="47"/>
      <c r="D3" s="47"/>
      <c r="E3" s="47"/>
      <c r="F3" s="47"/>
      <c r="G3" s="48" t="s">
        <v>44</v>
      </c>
      <c r="H3" s="49" t="s">
        <v>45</v>
      </c>
      <c r="I3" s="41"/>
      <c r="J3" s="46" t="s">
        <v>43</v>
      </c>
      <c r="K3" s="47"/>
      <c r="L3" s="47"/>
      <c r="M3" s="47"/>
      <c r="N3" s="47"/>
      <c r="O3" s="48" t="s">
        <v>44</v>
      </c>
      <c r="P3" s="49" t="s">
        <v>45</v>
      </c>
      <c r="Q3" s="41"/>
      <c r="R3" s="46" t="s">
        <v>43</v>
      </c>
      <c r="S3" s="47"/>
      <c r="T3" s="47"/>
      <c r="U3" s="47"/>
      <c r="V3" s="47"/>
      <c r="W3" s="48" t="s">
        <v>44</v>
      </c>
      <c r="X3" s="49" t="s">
        <v>45</v>
      </c>
      <c r="Y3" s="41"/>
      <c r="Z3" s="46" t="s">
        <v>43</v>
      </c>
      <c r="AA3" s="47"/>
      <c r="AB3" s="47"/>
      <c r="AC3" s="47"/>
      <c r="AD3" s="47"/>
      <c r="AE3" s="48" t="s">
        <v>44</v>
      </c>
      <c r="AF3" s="49" t="s">
        <v>45</v>
      </c>
    </row>
    <row r="4" ht="15.75" customHeight="1">
      <c r="A4" s="41"/>
      <c r="B4" s="50" t="s">
        <v>46</v>
      </c>
      <c r="C4" s="1"/>
      <c r="D4" s="8" t="s">
        <v>47</v>
      </c>
      <c r="E4" s="51" t="s">
        <v>48</v>
      </c>
      <c r="F4" s="51" t="s">
        <v>49</v>
      </c>
      <c r="G4" s="52" t="s">
        <v>50</v>
      </c>
      <c r="H4" s="53"/>
      <c r="I4" s="41"/>
      <c r="J4" s="50" t="s">
        <v>46</v>
      </c>
      <c r="K4" s="1" t="str">
        <f>D4</f>
        <v>Unit Count</v>
      </c>
      <c r="L4" s="51" t="s">
        <v>48</v>
      </c>
      <c r="M4" s="51" t="s">
        <v>49</v>
      </c>
      <c r="N4" s="51"/>
      <c r="O4" s="52" t="s">
        <v>50</v>
      </c>
      <c r="P4" s="53"/>
      <c r="Q4" s="41"/>
      <c r="R4" s="50" t="s">
        <v>46</v>
      </c>
      <c r="S4" s="1" t="str">
        <f>K4</f>
        <v>Unit Count</v>
      </c>
      <c r="T4" s="51" t="s">
        <v>48</v>
      </c>
      <c r="U4" s="51" t="s">
        <v>49</v>
      </c>
      <c r="V4" s="51"/>
      <c r="W4" s="52" t="s">
        <v>50</v>
      </c>
      <c r="X4" s="53"/>
      <c r="Y4" s="41"/>
      <c r="Z4" s="50" t="s">
        <v>46</v>
      </c>
      <c r="AA4" s="1" t="s">
        <v>47</v>
      </c>
      <c r="AB4" s="51" t="s">
        <v>48</v>
      </c>
      <c r="AC4" s="51" t="s">
        <v>49</v>
      </c>
      <c r="AD4" s="51"/>
      <c r="AE4" s="52" t="s">
        <v>50</v>
      </c>
      <c r="AF4" s="53"/>
    </row>
    <row r="5" ht="15.75" customHeight="1">
      <c r="A5" s="41"/>
      <c r="B5" s="50" t="s">
        <v>51</v>
      </c>
      <c r="C5" s="1"/>
      <c r="D5" s="54">
        <v>9.0</v>
      </c>
      <c r="E5" s="54">
        <v>2.0</v>
      </c>
      <c r="F5" s="54">
        <v>1133.33</v>
      </c>
      <c r="G5" s="55">
        <f t="shared" ref="G5:G7" si="1">D5*F5*E5*12</f>
        <v>244799.28</v>
      </c>
      <c r="H5" s="56">
        <f t="shared" ref="H5:H7" si="2">G5*(1+$C$97)</f>
        <v>257039.244</v>
      </c>
      <c r="I5" s="57"/>
      <c r="J5" s="50" t="s">
        <v>51</v>
      </c>
      <c r="K5" s="1">
        <v>36.0</v>
      </c>
      <c r="L5" s="54">
        <v>2.0</v>
      </c>
      <c r="M5" s="54">
        <v>981.83</v>
      </c>
      <c r="N5" s="58"/>
      <c r="O5" s="55">
        <f t="shared" ref="O5:O9" si="3">K5*M5*L5*12</f>
        <v>848301.12</v>
      </c>
      <c r="P5" s="56">
        <f t="shared" ref="P5:P9" si="4">O5*(1+$C$97)</f>
        <v>890716.176</v>
      </c>
      <c r="Q5" s="41"/>
      <c r="R5" s="50" t="s">
        <v>52</v>
      </c>
      <c r="S5" s="54">
        <v>12.0</v>
      </c>
      <c r="T5" s="54">
        <v>1.0</v>
      </c>
      <c r="U5" s="54">
        <v>1569.83</v>
      </c>
      <c r="V5" s="59"/>
      <c r="W5" s="55">
        <f t="shared" ref="W5:W11" si="5">S5*U5*T5*12</f>
        <v>226055.52</v>
      </c>
      <c r="X5" s="56">
        <f t="shared" ref="X5:X11" si="6">W5*(1+$C$97)</f>
        <v>237358.296</v>
      </c>
      <c r="Y5" s="41"/>
      <c r="Z5" s="50" t="s">
        <v>52</v>
      </c>
      <c r="AA5" s="1">
        <v>20.0</v>
      </c>
      <c r="AB5" s="54">
        <v>1.0</v>
      </c>
      <c r="AC5" s="54">
        <v>1516.0</v>
      </c>
      <c r="AD5" s="59"/>
      <c r="AE5" s="55">
        <f t="shared" ref="AE5:AE11" si="7">AA5*AC5*AB5*12</f>
        <v>363840</v>
      </c>
      <c r="AF5" s="56">
        <f t="shared" ref="AF5:AF11" si="8">AE5*(1+$C$97)</f>
        <v>382032</v>
      </c>
    </row>
    <row r="6" ht="15.75" customHeight="1">
      <c r="A6" s="41"/>
      <c r="B6" s="50" t="s">
        <v>53</v>
      </c>
      <c r="C6" s="1"/>
      <c r="D6" s="54">
        <v>4.0</v>
      </c>
      <c r="E6" s="54">
        <v>3.0</v>
      </c>
      <c r="F6" s="54">
        <v>987.25</v>
      </c>
      <c r="G6" s="55">
        <f t="shared" si="1"/>
        <v>142164</v>
      </c>
      <c r="H6" s="56">
        <f t="shared" si="2"/>
        <v>149272.2</v>
      </c>
      <c r="I6" s="41"/>
      <c r="J6" s="50" t="s">
        <v>54</v>
      </c>
      <c r="K6" s="1">
        <v>8.0</v>
      </c>
      <c r="L6" s="54">
        <v>3.0</v>
      </c>
      <c r="M6" s="54">
        <v>887.14</v>
      </c>
      <c r="N6" s="58"/>
      <c r="O6" s="55">
        <f t="shared" si="3"/>
        <v>255496.32</v>
      </c>
      <c r="P6" s="56">
        <f t="shared" si="4"/>
        <v>268271.136</v>
      </c>
      <c r="Q6" s="41"/>
      <c r="R6" s="50" t="s">
        <v>51</v>
      </c>
      <c r="S6" s="54">
        <v>8.0</v>
      </c>
      <c r="T6" s="54">
        <v>2.0</v>
      </c>
      <c r="U6" s="54">
        <v>989.75</v>
      </c>
      <c r="V6" s="59"/>
      <c r="W6" s="55">
        <f t="shared" si="5"/>
        <v>190032</v>
      </c>
      <c r="X6" s="56">
        <f t="shared" si="6"/>
        <v>199533.6</v>
      </c>
      <c r="Y6" s="41"/>
      <c r="Z6" s="50" t="s">
        <v>55</v>
      </c>
      <c r="AA6" s="1">
        <v>16.0</v>
      </c>
      <c r="AB6" s="54">
        <v>2.0</v>
      </c>
      <c r="AC6" s="54">
        <v>836.0</v>
      </c>
      <c r="AD6" s="59"/>
      <c r="AE6" s="55">
        <f t="shared" si="7"/>
        <v>321024</v>
      </c>
      <c r="AF6" s="56">
        <f t="shared" si="8"/>
        <v>337075.2</v>
      </c>
    </row>
    <row r="7" ht="15.75" customHeight="1">
      <c r="A7" s="41"/>
      <c r="B7" s="50" t="s">
        <v>56</v>
      </c>
      <c r="C7" s="1"/>
      <c r="D7" s="54">
        <v>5.0</v>
      </c>
      <c r="E7" s="54">
        <v>4.0</v>
      </c>
      <c r="F7" s="54">
        <v>913.75</v>
      </c>
      <c r="G7" s="55">
        <f t="shared" si="1"/>
        <v>219300</v>
      </c>
      <c r="H7" s="56">
        <f t="shared" si="2"/>
        <v>230265</v>
      </c>
      <c r="I7" s="41"/>
      <c r="J7" s="50" t="s">
        <v>53</v>
      </c>
      <c r="K7" s="1">
        <v>14.0</v>
      </c>
      <c r="L7" s="54">
        <v>3.0</v>
      </c>
      <c r="M7" s="54">
        <v>909.4885714285715</v>
      </c>
      <c r="N7" s="58"/>
      <c r="O7" s="55">
        <f t="shared" si="3"/>
        <v>458382.24</v>
      </c>
      <c r="P7" s="56">
        <f t="shared" si="4"/>
        <v>481301.352</v>
      </c>
      <c r="Q7" s="41"/>
      <c r="R7" s="50" t="s">
        <v>54</v>
      </c>
      <c r="S7" s="54">
        <v>4.0</v>
      </c>
      <c r="T7" s="54">
        <v>3.0</v>
      </c>
      <c r="U7" s="54">
        <v>826.81</v>
      </c>
      <c r="V7" s="59"/>
      <c r="W7" s="55">
        <f t="shared" si="5"/>
        <v>119060.64</v>
      </c>
      <c r="X7" s="56">
        <f t="shared" si="6"/>
        <v>125013.672</v>
      </c>
      <c r="Y7" s="41"/>
      <c r="Z7" s="50" t="s">
        <v>51</v>
      </c>
      <c r="AA7" s="1">
        <v>16.0</v>
      </c>
      <c r="AB7" s="54">
        <v>2.0</v>
      </c>
      <c r="AC7" s="54">
        <v>962.0</v>
      </c>
      <c r="AD7" s="59"/>
      <c r="AE7" s="55">
        <f t="shared" si="7"/>
        <v>369408</v>
      </c>
      <c r="AF7" s="56">
        <f t="shared" si="8"/>
        <v>387878.4</v>
      </c>
    </row>
    <row r="8" ht="15.75" customHeight="1">
      <c r="A8" s="41"/>
      <c r="B8" s="50"/>
      <c r="C8" s="1"/>
      <c r="D8" s="54"/>
      <c r="E8" s="54"/>
      <c r="F8" s="54"/>
      <c r="G8" s="55"/>
      <c r="H8" s="56"/>
      <c r="I8" s="41"/>
      <c r="J8" s="50" t="s">
        <v>57</v>
      </c>
      <c r="K8" s="1">
        <v>6.0</v>
      </c>
      <c r="L8" s="54">
        <v>4.0</v>
      </c>
      <c r="M8" s="54">
        <v>777.33</v>
      </c>
      <c r="N8" s="58"/>
      <c r="O8" s="55">
        <f t="shared" si="3"/>
        <v>223871.04</v>
      </c>
      <c r="P8" s="56">
        <f t="shared" si="4"/>
        <v>235064.592</v>
      </c>
      <c r="Q8" s="41"/>
      <c r="R8" s="50" t="s">
        <v>53</v>
      </c>
      <c r="S8" s="54">
        <v>8.0</v>
      </c>
      <c r="T8" s="54">
        <v>3.0</v>
      </c>
      <c r="U8" s="54">
        <v>888.33</v>
      </c>
      <c r="V8" s="59"/>
      <c r="W8" s="55">
        <f t="shared" si="5"/>
        <v>255839.04</v>
      </c>
      <c r="X8" s="56">
        <f t="shared" si="6"/>
        <v>268630.992</v>
      </c>
      <c r="Y8" s="41"/>
      <c r="Z8" s="50" t="s">
        <v>54</v>
      </c>
      <c r="AA8" s="1">
        <v>16.0</v>
      </c>
      <c r="AB8" s="54">
        <v>3.0</v>
      </c>
      <c r="AC8" s="54">
        <v>844.0</v>
      </c>
      <c r="AD8" s="59"/>
      <c r="AE8" s="55">
        <f t="shared" si="7"/>
        <v>486144</v>
      </c>
      <c r="AF8" s="56">
        <f t="shared" si="8"/>
        <v>510451.2</v>
      </c>
    </row>
    <row r="9" ht="15.75" customHeight="1">
      <c r="A9" s="41"/>
      <c r="B9" s="50"/>
      <c r="C9" s="1"/>
      <c r="D9" s="54"/>
      <c r="E9" s="54"/>
      <c r="F9" s="54"/>
      <c r="G9" s="55"/>
      <c r="H9" s="56"/>
      <c r="I9" s="41"/>
      <c r="J9" s="50" t="s">
        <v>56</v>
      </c>
      <c r="K9" s="1">
        <v>8.0</v>
      </c>
      <c r="L9" s="54">
        <v>4.0</v>
      </c>
      <c r="M9" s="54">
        <v>816.93</v>
      </c>
      <c r="N9" s="60"/>
      <c r="O9" s="55">
        <f t="shared" si="3"/>
        <v>313701.12</v>
      </c>
      <c r="P9" s="56">
        <f t="shared" si="4"/>
        <v>329386.176</v>
      </c>
      <c r="Q9" s="41"/>
      <c r="R9" s="50" t="s">
        <v>57</v>
      </c>
      <c r="S9" s="1">
        <v>4.0</v>
      </c>
      <c r="T9" s="54">
        <v>4.0</v>
      </c>
      <c r="U9" s="54">
        <v>786.88</v>
      </c>
      <c r="V9" s="32"/>
      <c r="W9" s="55">
        <f t="shared" si="5"/>
        <v>151080.96</v>
      </c>
      <c r="X9" s="56">
        <f t="shared" si="6"/>
        <v>158635.008</v>
      </c>
      <c r="Y9" s="41"/>
      <c r="Z9" s="50" t="s">
        <v>53</v>
      </c>
      <c r="AA9" s="1">
        <v>4.0</v>
      </c>
      <c r="AB9" s="54">
        <v>3.0</v>
      </c>
      <c r="AC9" s="54">
        <v>897.0</v>
      </c>
      <c r="AD9" s="32"/>
      <c r="AE9" s="55">
        <f t="shared" si="7"/>
        <v>129168</v>
      </c>
      <c r="AF9" s="56">
        <f t="shared" si="8"/>
        <v>135626.4</v>
      </c>
    </row>
    <row r="10" ht="15.75" customHeight="1">
      <c r="A10" s="41"/>
      <c r="B10" s="50"/>
      <c r="C10" s="1"/>
      <c r="D10" s="54"/>
      <c r="E10" s="54"/>
      <c r="F10" s="54"/>
      <c r="G10" s="55"/>
      <c r="H10" s="56"/>
      <c r="I10" s="41"/>
      <c r="J10" s="50"/>
      <c r="K10" s="1"/>
      <c r="L10" s="61"/>
      <c r="M10" s="61"/>
      <c r="N10" s="58"/>
      <c r="O10" s="55"/>
      <c r="P10" s="56"/>
      <c r="Q10" s="41"/>
      <c r="R10" s="50" t="s">
        <v>56</v>
      </c>
      <c r="S10" s="1">
        <v>4.0</v>
      </c>
      <c r="T10" s="54">
        <v>4.0</v>
      </c>
      <c r="U10" s="54">
        <v>799.0</v>
      </c>
      <c r="V10" s="59"/>
      <c r="W10" s="55">
        <f t="shared" si="5"/>
        <v>153408</v>
      </c>
      <c r="X10" s="56">
        <f t="shared" si="6"/>
        <v>161078.4</v>
      </c>
      <c r="Y10" s="41"/>
      <c r="Z10" s="50" t="s">
        <v>57</v>
      </c>
      <c r="AA10" s="1">
        <v>4.0</v>
      </c>
      <c r="AB10" s="54">
        <v>4.0</v>
      </c>
      <c r="AC10" s="54">
        <v>768.0</v>
      </c>
      <c r="AD10" s="59"/>
      <c r="AE10" s="55">
        <f t="shared" si="7"/>
        <v>147456</v>
      </c>
      <c r="AF10" s="56">
        <f t="shared" si="8"/>
        <v>154828.8</v>
      </c>
    </row>
    <row r="11" ht="15.75" customHeight="1">
      <c r="A11" s="41"/>
      <c r="B11" s="50"/>
      <c r="C11" s="1"/>
      <c r="D11" s="54"/>
      <c r="E11" s="54"/>
      <c r="F11" s="54"/>
      <c r="G11" s="55"/>
      <c r="H11" s="56"/>
      <c r="I11" s="41"/>
      <c r="J11" s="50"/>
      <c r="K11" s="1"/>
      <c r="L11" s="61"/>
      <c r="M11" s="61"/>
      <c r="N11" s="58"/>
      <c r="O11" s="55"/>
      <c r="P11" s="56"/>
      <c r="Q11" s="41"/>
      <c r="R11" s="50" t="s">
        <v>58</v>
      </c>
      <c r="S11" s="1">
        <v>4.0</v>
      </c>
      <c r="T11" s="54">
        <v>4.0</v>
      </c>
      <c r="U11" s="54">
        <v>834.38</v>
      </c>
      <c r="V11" s="59"/>
      <c r="W11" s="55">
        <f t="shared" si="5"/>
        <v>160200.96</v>
      </c>
      <c r="X11" s="56">
        <f t="shared" si="6"/>
        <v>168211.008</v>
      </c>
      <c r="Y11" s="41"/>
      <c r="Z11" s="50" t="s">
        <v>56</v>
      </c>
      <c r="AA11" s="1">
        <v>8.0</v>
      </c>
      <c r="AB11" s="54">
        <v>4.0</v>
      </c>
      <c r="AC11" s="54">
        <v>812.0</v>
      </c>
      <c r="AD11" s="59"/>
      <c r="AE11" s="55">
        <f t="shared" si="7"/>
        <v>311808</v>
      </c>
      <c r="AF11" s="56">
        <f t="shared" si="8"/>
        <v>327398.4</v>
      </c>
    </row>
    <row r="12" ht="15.75" customHeight="1">
      <c r="A12" s="41"/>
      <c r="B12" s="62" t="s">
        <v>59</v>
      </c>
      <c r="C12" s="63"/>
      <c r="D12" s="64">
        <f>SUM(D5:D11)</f>
        <v>18</v>
      </c>
      <c r="E12" s="64">
        <f>SUMPRODUCT(E5:E11,D5:D11)</f>
        <v>50</v>
      </c>
      <c r="F12" s="65"/>
      <c r="G12" s="66">
        <f t="shared" ref="G12:H12" si="9">SUM(G5:G11)</f>
        <v>606263.28</v>
      </c>
      <c r="H12" s="67">
        <f t="shared" si="9"/>
        <v>636576.444</v>
      </c>
      <c r="I12" s="41"/>
      <c r="J12" s="62" t="s">
        <v>59</v>
      </c>
      <c r="K12" s="63">
        <f>SUM(K5:K11)</f>
        <v>72</v>
      </c>
      <c r="L12" s="64">
        <f>SUMPRODUCT(L5:L11,K5:K11)</f>
        <v>194</v>
      </c>
      <c r="M12" s="64">
        <f>AVERAGE(M5:M9)</f>
        <v>874.5437143</v>
      </c>
      <c r="N12" s="65"/>
      <c r="O12" s="66">
        <f t="shared" ref="O12:P12" si="10">SUM(O5:O11)</f>
        <v>2099751.84</v>
      </c>
      <c r="P12" s="67">
        <f t="shared" si="10"/>
        <v>2204739.432</v>
      </c>
      <c r="Q12" s="41"/>
      <c r="R12" s="62" t="s">
        <v>59</v>
      </c>
      <c r="S12" s="64">
        <f>SUM(S5:S11)</f>
        <v>44</v>
      </c>
      <c r="T12" s="64">
        <f>SUMPRODUCT(T5:T11,S5:S11)</f>
        <v>112</v>
      </c>
      <c r="U12" s="64">
        <f>AVERAGE(U5:U11)</f>
        <v>956.4257143</v>
      </c>
      <c r="V12" s="65"/>
      <c r="W12" s="66">
        <f t="shared" ref="W12:X12" si="11">SUM(W5:W11)</f>
        <v>1255677.12</v>
      </c>
      <c r="X12" s="67">
        <f t="shared" si="11"/>
        <v>1318460.976</v>
      </c>
      <c r="Y12" s="41"/>
      <c r="Z12" s="62" t="s">
        <v>59</v>
      </c>
      <c r="AA12" s="63">
        <f>SUM(AA5:AA11)</f>
        <v>84</v>
      </c>
      <c r="AB12" s="64">
        <f>SUMPRODUCT(AB5:AB11,AA5:AA11)</f>
        <v>192</v>
      </c>
      <c r="AC12" s="64">
        <f>AVERAGE(AC5:AC11)</f>
        <v>947.8571429</v>
      </c>
      <c r="AD12" s="65"/>
      <c r="AE12" s="66">
        <f t="shared" ref="AE12:AF12" si="12">SUM(AE5:AE11)</f>
        <v>2128848</v>
      </c>
      <c r="AF12" s="67">
        <f t="shared" si="12"/>
        <v>2235290.4</v>
      </c>
    </row>
    <row r="13" ht="15.75" customHeight="1">
      <c r="A13" s="41"/>
      <c r="B13" s="50"/>
      <c r="C13" s="1"/>
      <c r="D13" s="1"/>
      <c r="E13" s="68"/>
      <c r="F13" s="1"/>
      <c r="G13" s="55"/>
      <c r="H13" s="56"/>
      <c r="I13" s="41"/>
      <c r="J13" s="50"/>
      <c r="K13" s="1"/>
      <c r="L13" s="1"/>
      <c r="M13" s="68"/>
      <c r="N13" s="1"/>
      <c r="O13" s="55"/>
      <c r="P13" s="56"/>
      <c r="Q13" s="41"/>
      <c r="R13" s="50"/>
      <c r="S13" s="1"/>
      <c r="T13" s="1"/>
      <c r="U13" s="68"/>
      <c r="V13" s="1"/>
      <c r="W13" s="55"/>
      <c r="X13" s="56"/>
      <c r="Y13" s="41"/>
      <c r="Z13" s="50"/>
      <c r="AA13" s="1"/>
      <c r="AB13" s="1"/>
      <c r="AC13" s="68"/>
      <c r="AD13" s="1"/>
      <c r="AE13" s="55"/>
      <c r="AF13" s="56"/>
    </row>
    <row r="14" ht="15.75" customHeight="1">
      <c r="A14" s="41"/>
      <c r="B14" s="50" t="s">
        <v>60</v>
      </c>
      <c r="C14" s="1"/>
      <c r="D14" s="1"/>
      <c r="E14" s="68"/>
      <c r="F14" s="59">
        <v>0.0</v>
      </c>
      <c r="G14" s="55">
        <f t="shared" ref="G14:G16" si="13">-F14*$G$12</f>
        <v>0</v>
      </c>
      <c r="H14" s="56">
        <f>-$H$12*C95</f>
        <v>-31828.8222</v>
      </c>
      <c r="I14" s="41"/>
      <c r="J14" s="50" t="s">
        <v>60</v>
      </c>
      <c r="K14" s="1"/>
      <c r="L14" s="1"/>
      <c r="M14" s="68"/>
      <c r="N14" s="59">
        <v>0.0</v>
      </c>
      <c r="O14" s="55">
        <f t="shared" ref="O14:O16" si="14">-N14*$O$12</f>
        <v>0</v>
      </c>
      <c r="P14" s="56">
        <f>-P12*$C$95</f>
        <v>-110236.9716</v>
      </c>
      <c r="Q14" s="41"/>
      <c r="R14" s="50" t="s">
        <v>60</v>
      </c>
      <c r="S14" s="1"/>
      <c r="T14" s="1"/>
      <c r="U14" s="68"/>
      <c r="V14" s="59">
        <v>0.0</v>
      </c>
      <c r="W14" s="55">
        <f t="shared" ref="W14:W16" si="15">-V14*$W$12</f>
        <v>0</v>
      </c>
      <c r="X14" s="56">
        <f>-X12*$C$95</f>
        <v>-65923.0488</v>
      </c>
      <c r="Y14" s="41"/>
      <c r="Z14" s="50" t="s">
        <v>60</v>
      </c>
      <c r="AA14" s="1"/>
      <c r="AB14" s="1"/>
      <c r="AC14" s="68"/>
      <c r="AD14" s="59">
        <v>0.0</v>
      </c>
      <c r="AE14" s="55">
        <f t="shared" ref="AE14:AE16" si="16">-AD14*$AE$12</f>
        <v>0</v>
      </c>
      <c r="AF14" s="56">
        <f>-AF12*$C$95</f>
        <v>-111764.52</v>
      </c>
    </row>
    <row r="15" ht="15.75" customHeight="1">
      <c r="A15" s="41"/>
      <c r="B15" s="50" t="s">
        <v>61</v>
      </c>
      <c r="C15" s="1"/>
      <c r="D15" s="1"/>
      <c r="E15" s="68"/>
      <c r="F15" s="59">
        <v>0.01</v>
      </c>
      <c r="G15" s="55">
        <f t="shared" si="13"/>
        <v>-6062.6328</v>
      </c>
      <c r="H15" s="56">
        <f t="shared" ref="H15:H16" si="17">-$H$12*F15</f>
        <v>-6365.76444</v>
      </c>
      <c r="I15" s="41"/>
      <c r="J15" s="50" t="s">
        <v>61</v>
      </c>
      <c r="K15" s="1"/>
      <c r="L15" s="1"/>
      <c r="M15" s="68"/>
      <c r="N15" s="59">
        <v>0.01</v>
      </c>
      <c r="O15" s="55">
        <f t="shared" si="14"/>
        <v>-20997.5184</v>
      </c>
      <c r="P15" s="56">
        <f t="shared" ref="P15:P16" si="18">-$P$12*N15</f>
        <v>-22047.39432</v>
      </c>
      <c r="Q15" s="41"/>
      <c r="R15" s="50" t="s">
        <v>61</v>
      </c>
      <c r="S15" s="1"/>
      <c r="T15" s="1"/>
      <c r="U15" s="68"/>
      <c r="V15" s="59">
        <v>0.01</v>
      </c>
      <c r="W15" s="55">
        <f t="shared" si="15"/>
        <v>-12556.7712</v>
      </c>
      <c r="X15" s="56">
        <f t="shared" ref="X15:X16" si="19">-$X$12*V15</f>
        <v>-13184.60976</v>
      </c>
      <c r="Y15" s="41"/>
      <c r="Z15" s="50" t="s">
        <v>61</v>
      </c>
      <c r="AA15" s="1"/>
      <c r="AB15" s="1"/>
      <c r="AC15" s="68"/>
      <c r="AD15" s="59">
        <v>0.01</v>
      </c>
      <c r="AE15" s="55">
        <f t="shared" si="16"/>
        <v>-21288.48</v>
      </c>
      <c r="AF15" s="56">
        <f t="shared" ref="AF15:AF16" si="20">-$AF$12*AD15</f>
        <v>-22352.904</v>
      </c>
    </row>
    <row r="16" ht="15.75" customHeight="1">
      <c r="A16" s="41"/>
      <c r="B16" s="50" t="s">
        <v>62</v>
      </c>
      <c r="C16" s="1"/>
      <c r="D16" s="1"/>
      <c r="E16" s="68"/>
      <c r="F16" s="59">
        <v>0.01</v>
      </c>
      <c r="G16" s="55">
        <f t="shared" si="13"/>
        <v>-6062.6328</v>
      </c>
      <c r="H16" s="56">
        <f t="shared" si="17"/>
        <v>-6365.76444</v>
      </c>
      <c r="I16" s="41"/>
      <c r="J16" s="50" t="s">
        <v>62</v>
      </c>
      <c r="K16" s="1"/>
      <c r="L16" s="1"/>
      <c r="M16" s="68"/>
      <c r="N16" s="59">
        <v>0.01</v>
      </c>
      <c r="O16" s="55">
        <f t="shared" si="14"/>
        <v>-20997.5184</v>
      </c>
      <c r="P16" s="56">
        <f t="shared" si="18"/>
        <v>-22047.39432</v>
      </c>
      <c r="Q16" s="41"/>
      <c r="R16" s="50" t="s">
        <v>62</v>
      </c>
      <c r="S16" s="1"/>
      <c r="T16" s="1"/>
      <c r="U16" s="68"/>
      <c r="V16" s="59">
        <v>0.01</v>
      </c>
      <c r="W16" s="55">
        <f t="shared" si="15"/>
        <v>-12556.7712</v>
      </c>
      <c r="X16" s="56">
        <f t="shared" si="19"/>
        <v>-13184.60976</v>
      </c>
      <c r="Y16" s="41"/>
      <c r="Z16" s="50" t="s">
        <v>62</v>
      </c>
      <c r="AA16" s="1"/>
      <c r="AB16" s="1"/>
      <c r="AC16" s="68"/>
      <c r="AD16" s="59">
        <v>0.01</v>
      </c>
      <c r="AE16" s="55">
        <f t="shared" si="16"/>
        <v>-21288.48</v>
      </c>
      <c r="AF16" s="56">
        <f t="shared" si="20"/>
        <v>-22352.904</v>
      </c>
    </row>
    <row r="17" ht="15.75" customHeight="1">
      <c r="A17" s="41"/>
      <c r="B17" s="50"/>
      <c r="C17" s="1"/>
      <c r="D17" s="1"/>
      <c r="E17" s="68"/>
      <c r="F17" s="1"/>
      <c r="G17" s="55"/>
      <c r="H17" s="56"/>
      <c r="I17" s="41"/>
      <c r="J17" s="50"/>
      <c r="K17" s="1"/>
      <c r="L17" s="1"/>
      <c r="M17" s="68"/>
      <c r="N17" s="1"/>
      <c r="O17" s="55"/>
      <c r="P17" s="56"/>
      <c r="Q17" s="41"/>
      <c r="R17" s="50"/>
      <c r="S17" s="1"/>
      <c r="T17" s="1"/>
      <c r="U17" s="68"/>
      <c r="V17" s="1"/>
      <c r="W17" s="55"/>
      <c r="X17" s="56"/>
      <c r="Y17" s="41"/>
      <c r="Z17" s="50"/>
      <c r="AA17" s="1"/>
      <c r="AB17" s="1"/>
      <c r="AC17" s="68"/>
      <c r="AD17" s="1"/>
      <c r="AE17" s="55"/>
      <c r="AF17" s="56"/>
    </row>
    <row r="18" ht="15.75" customHeight="1">
      <c r="A18" s="41"/>
      <c r="B18" s="69" t="s">
        <v>63</v>
      </c>
      <c r="C18" s="70"/>
      <c r="D18" s="70"/>
      <c r="E18" s="70"/>
      <c r="F18" s="70"/>
      <c r="G18" s="71">
        <f t="shared" ref="G18:H18" si="21">G12+SUM(G14:G16)</f>
        <v>594138.0144</v>
      </c>
      <c r="H18" s="72">
        <f t="shared" si="21"/>
        <v>592016.0929</v>
      </c>
      <c r="I18" s="41"/>
      <c r="J18" s="69" t="s">
        <v>63</v>
      </c>
      <c r="K18" s="70"/>
      <c r="L18" s="70"/>
      <c r="M18" s="70"/>
      <c r="N18" s="70"/>
      <c r="O18" s="71">
        <f t="shared" ref="O18:P18" si="22">O12+SUM(O14:O16)</f>
        <v>2057756.803</v>
      </c>
      <c r="P18" s="72">
        <f t="shared" si="22"/>
        <v>2050407.672</v>
      </c>
      <c r="Q18" s="41"/>
      <c r="R18" s="69" t="s">
        <v>63</v>
      </c>
      <c r="S18" s="70"/>
      <c r="T18" s="70"/>
      <c r="U18" s="70"/>
      <c r="V18" s="70"/>
      <c r="W18" s="71">
        <f t="shared" ref="W18:X18" si="23">W12+SUM(W14:W16)</f>
        <v>1230563.578</v>
      </c>
      <c r="X18" s="72">
        <f t="shared" si="23"/>
        <v>1226168.708</v>
      </c>
      <c r="Y18" s="41"/>
      <c r="Z18" s="69" t="s">
        <v>63</v>
      </c>
      <c r="AA18" s="70"/>
      <c r="AB18" s="70"/>
      <c r="AC18" s="70"/>
      <c r="AD18" s="70"/>
      <c r="AE18" s="71">
        <f t="shared" ref="AE18:AF18" si="24">AE12+SUM(AE14:AE16)</f>
        <v>2086271.04</v>
      </c>
      <c r="AF18" s="72">
        <f t="shared" si="24"/>
        <v>2078820.072</v>
      </c>
    </row>
    <row r="19" ht="15.75" customHeight="1">
      <c r="A19" s="41"/>
      <c r="B19" s="50" t="s">
        <v>64</v>
      </c>
      <c r="C19" s="1"/>
      <c r="D19" s="1"/>
      <c r="E19" s="1"/>
      <c r="F19" s="1"/>
      <c r="G19" s="55">
        <v>67788.5</v>
      </c>
      <c r="H19" s="72">
        <f>G19*(1+$C$96)</f>
        <v>69822.155</v>
      </c>
      <c r="I19" s="41"/>
      <c r="J19" s="50" t="s">
        <v>65</v>
      </c>
      <c r="K19" s="1"/>
      <c r="L19" s="1"/>
      <c r="M19" s="1"/>
      <c r="N19" s="1"/>
      <c r="O19" s="55">
        <v>266760.69</v>
      </c>
      <c r="P19" s="72">
        <f>O19*(1+$C$96)</f>
        <v>274763.5107</v>
      </c>
      <c r="Q19" s="41"/>
      <c r="R19" s="50" t="s">
        <v>65</v>
      </c>
      <c r="S19" s="1"/>
      <c r="T19" s="1"/>
      <c r="U19" s="1"/>
      <c r="V19" s="1"/>
      <c r="W19" s="55">
        <v>165811.37</v>
      </c>
      <c r="X19" s="72">
        <f>W19*(1+$C$96)</f>
        <v>170785.7111</v>
      </c>
      <c r="Y19" s="41"/>
      <c r="Z19" s="50" t="s">
        <v>65</v>
      </c>
      <c r="AA19" s="1"/>
      <c r="AB19" s="1"/>
      <c r="AC19" s="1"/>
      <c r="AD19" s="1"/>
      <c r="AE19" s="55">
        <v>239853.55</v>
      </c>
      <c r="AF19" s="72">
        <f>AE19*(1+$C$96)</f>
        <v>247049.1565</v>
      </c>
    </row>
    <row r="20" ht="15.75" customHeight="1">
      <c r="A20" s="41"/>
      <c r="B20" s="50" t="s">
        <v>66</v>
      </c>
      <c r="C20" s="1"/>
      <c r="D20" s="1"/>
      <c r="E20" s="1"/>
      <c r="F20" s="1"/>
      <c r="G20" s="55">
        <v>0.0</v>
      </c>
      <c r="H20" s="56">
        <v>0.0</v>
      </c>
      <c r="I20" s="41"/>
      <c r="J20" s="50" t="str">
        <f t="shared" ref="J20:J21" si="25">B20</f>
        <v>Utility Reimburshment (w/o Electricity)</v>
      </c>
      <c r="K20" s="1"/>
      <c r="L20" s="1"/>
      <c r="M20" s="1"/>
      <c r="N20" s="1"/>
      <c r="O20" s="55">
        <v>0.0</v>
      </c>
      <c r="P20" s="56">
        <v>0.0</v>
      </c>
      <c r="Q20" s="41"/>
      <c r="R20" s="50" t="str">
        <f t="shared" ref="R20:R21" si="27">J20</f>
        <v>Utility Reimburshment (w/o Electricity)</v>
      </c>
      <c r="S20" s="1"/>
      <c r="T20" s="1"/>
      <c r="U20" s="1"/>
      <c r="V20" s="1"/>
      <c r="W20" s="55">
        <v>0.0</v>
      </c>
      <c r="X20" s="56">
        <v>0.0</v>
      </c>
      <c r="Y20" s="41"/>
      <c r="Z20" s="50" t="str">
        <f t="shared" ref="Z20:Z21" si="28">R20</f>
        <v>Utility Reimburshment (w/o Electricity)</v>
      </c>
      <c r="AA20" s="1"/>
      <c r="AB20" s="1"/>
      <c r="AC20" s="1"/>
      <c r="AD20" s="1"/>
      <c r="AE20" s="55">
        <v>0.0</v>
      </c>
      <c r="AF20" s="56">
        <v>0.0</v>
      </c>
    </row>
    <row r="21" ht="15.75" customHeight="1">
      <c r="A21" s="41"/>
      <c r="B21" s="50" t="s">
        <v>67</v>
      </c>
      <c r="C21" s="1"/>
      <c r="D21" s="8"/>
      <c r="E21" s="59">
        <v>0.05</v>
      </c>
      <c r="F21" s="73">
        <v>2.0</v>
      </c>
      <c r="G21" s="71"/>
      <c r="H21" s="72"/>
      <c r="I21" s="41"/>
      <c r="J21" s="50" t="str">
        <f t="shared" si="25"/>
        <v>Utility Buyback Premium</v>
      </c>
      <c r="K21" s="1"/>
      <c r="L21" s="8"/>
      <c r="M21" s="59">
        <f t="shared" ref="M21:N21" si="26">E21</f>
        <v>0.05</v>
      </c>
      <c r="N21" s="73">
        <f t="shared" si="26"/>
        <v>2</v>
      </c>
      <c r="O21" s="71"/>
      <c r="P21" s="72"/>
      <c r="Q21" s="41"/>
      <c r="R21" s="50" t="str">
        <f t="shared" si="27"/>
        <v>Utility Buyback Premium</v>
      </c>
      <c r="S21" s="1"/>
      <c r="T21" s="8"/>
      <c r="U21" s="59">
        <v>0.05</v>
      </c>
      <c r="V21" s="73">
        <f>N21</f>
        <v>2</v>
      </c>
      <c r="W21" s="71"/>
      <c r="X21" s="72"/>
      <c r="Y21" s="41"/>
      <c r="Z21" s="50" t="str">
        <f t="shared" si="28"/>
        <v>Utility Buyback Premium</v>
      </c>
      <c r="AA21" s="1"/>
      <c r="AB21" s="59">
        <v>0.05</v>
      </c>
      <c r="AC21" s="59"/>
      <c r="AD21" s="73">
        <f>V21</f>
        <v>2</v>
      </c>
      <c r="AE21" s="71"/>
      <c r="AF21" s="72"/>
    </row>
    <row r="22" ht="15.75" customHeight="1">
      <c r="A22" s="41"/>
      <c r="B22" s="46" t="s">
        <v>68</v>
      </c>
      <c r="C22" s="47"/>
      <c r="D22" s="47"/>
      <c r="E22" s="47"/>
      <c r="F22" s="47"/>
      <c r="G22" s="74">
        <f t="shared" ref="G22:H22" si="29">SUM(G18:G21)</f>
        <v>661926.5144</v>
      </c>
      <c r="H22" s="75">
        <f t="shared" si="29"/>
        <v>661838.2479</v>
      </c>
      <c r="I22" s="41"/>
      <c r="J22" s="46" t="s">
        <v>68</v>
      </c>
      <c r="K22" s="47"/>
      <c r="L22" s="47"/>
      <c r="M22" s="47"/>
      <c r="N22" s="47"/>
      <c r="O22" s="74">
        <f t="shared" ref="O22:P22" si="30">SUM(O18:O20)</f>
        <v>2324517.493</v>
      </c>
      <c r="P22" s="75">
        <f t="shared" si="30"/>
        <v>2325171.182</v>
      </c>
      <c r="Q22" s="41"/>
      <c r="R22" s="46" t="s">
        <v>68</v>
      </c>
      <c r="S22" s="47"/>
      <c r="T22" s="47"/>
      <c r="U22" s="47"/>
      <c r="V22" s="47"/>
      <c r="W22" s="74">
        <f t="shared" ref="W22:X22" si="31">SUM(W18:W20)</f>
        <v>1396374.948</v>
      </c>
      <c r="X22" s="75">
        <f t="shared" si="31"/>
        <v>1396954.419</v>
      </c>
      <c r="Y22" s="41"/>
      <c r="Z22" s="46" t="s">
        <v>68</v>
      </c>
      <c r="AA22" s="47"/>
      <c r="AB22" s="47"/>
      <c r="AC22" s="47"/>
      <c r="AD22" s="47"/>
      <c r="AE22" s="74">
        <f t="shared" ref="AE22:AF22" si="32">SUM(AE18:AE20)</f>
        <v>2326124.59</v>
      </c>
      <c r="AF22" s="75">
        <f t="shared" si="32"/>
        <v>2325869.229</v>
      </c>
    </row>
    <row r="23" ht="15.75" customHeight="1">
      <c r="A23" s="41"/>
      <c r="B23" s="50"/>
      <c r="C23" s="1"/>
      <c r="D23" s="1"/>
      <c r="E23" s="1"/>
      <c r="F23" s="1"/>
      <c r="G23" s="71"/>
      <c r="H23" s="72"/>
      <c r="I23" s="41"/>
      <c r="J23" s="50"/>
      <c r="K23" s="1"/>
      <c r="L23" s="1"/>
      <c r="M23" s="1"/>
      <c r="N23" s="1"/>
      <c r="O23" s="71"/>
      <c r="P23" s="72"/>
      <c r="Q23" s="41"/>
      <c r="R23" s="50"/>
      <c r="S23" s="1"/>
      <c r="T23" s="1"/>
      <c r="U23" s="1"/>
      <c r="V23" s="1"/>
      <c r="W23" s="71"/>
      <c r="X23" s="72"/>
      <c r="Y23" s="41"/>
      <c r="Z23" s="50"/>
      <c r="AA23" s="1"/>
      <c r="AB23" s="1"/>
      <c r="AC23" s="1"/>
      <c r="AD23" s="1"/>
      <c r="AE23" s="71"/>
      <c r="AF23" s="72"/>
    </row>
    <row r="24" ht="15.75" customHeight="1">
      <c r="A24" s="41"/>
      <c r="B24" s="76" t="s">
        <v>69</v>
      </c>
      <c r="C24" s="1"/>
      <c r="D24" s="1"/>
      <c r="E24" s="1"/>
      <c r="F24" s="1"/>
      <c r="G24" s="55"/>
      <c r="H24" s="56"/>
      <c r="I24" s="41"/>
      <c r="J24" s="76" t="s">
        <v>69</v>
      </c>
      <c r="K24" s="1"/>
      <c r="L24" s="1"/>
      <c r="M24" s="1"/>
      <c r="N24" s="1"/>
      <c r="O24" s="55"/>
      <c r="P24" s="56"/>
      <c r="Q24" s="41"/>
      <c r="R24" s="76" t="s">
        <v>69</v>
      </c>
      <c r="S24" s="1"/>
      <c r="T24" s="1"/>
      <c r="U24" s="1"/>
      <c r="V24" s="1"/>
      <c r="W24" s="55"/>
      <c r="X24" s="56"/>
      <c r="Y24" s="41"/>
      <c r="Z24" s="76" t="s">
        <v>69</v>
      </c>
      <c r="AA24" s="1"/>
      <c r="AB24" s="1"/>
      <c r="AC24" s="1"/>
      <c r="AD24" s="1"/>
      <c r="AE24" s="55"/>
      <c r="AF24" s="56"/>
    </row>
    <row r="25" ht="15.75" customHeight="1">
      <c r="A25" s="41"/>
      <c r="B25" s="50" t="s">
        <v>70</v>
      </c>
      <c r="C25" s="1"/>
      <c r="D25" s="1"/>
      <c r="E25" s="1"/>
      <c r="F25" s="59"/>
      <c r="G25" s="55">
        <v>8781.89</v>
      </c>
      <c r="H25" s="56">
        <f t="shared" ref="H25:H29" si="33">G25*(1+$C$98)</f>
        <v>9045.3467</v>
      </c>
      <c r="I25" s="41"/>
      <c r="J25" s="50" t="s">
        <v>70</v>
      </c>
      <c r="K25" s="1"/>
      <c r="L25" s="1"/>
      <c r="M25" s="1"/>
      <c r="N25" s="59"/>
      <c r="O25" s="55">
        <v>15131.12</v>
      </c>
      <c r="P25" s="56">
        <f t="shared" ref="P25:P29" si="34">O25*(1+$C$98)</f>
        <v>15585.0536</v>
      </c>
      <c r="Q25" s="41"/>
      <c r="R25" s="50" t="s">
        <v>70</v>
      </c>
      <c r="S25" s="1"/>
      <c r="T25" s="1"/>
      <c r="U25" s="1"/>
      <c r="V25" s="59"/>
      <c r="W25" s="55">
        <v>10897.48</v>
      </c>
      <c r="X25" s="56">
        <f t="shared" ref="X25:X29" si="35">W25*(1+$C$98)</f>
        <v>11224.4044</v>
      </c>
      <c r="Y25" s="41"/>
      <c r="Z25" s="50" t="s">
        <v>70</v>
      </c>
      <c r="AA25" s="1"/>
      <c r="AB25" s="1"/>
      <c r="AC25" s="1"/>
      <c r="AD25" s="59"/>
      <c r="AE25" s="55">
        <v>16742.25</v>
      </c>
      <c r="AF25" s="56">
        <f t="shared" ref="AF25:AF29" si="36">AE25*(1+$C$98)</f>
        <v>17244.5175</v>
      </c>
    </row>
    <row r="26" ht="15.75" customHeight="1">
      <c r="A26" s="41"/>
      <c r="B26" s="50" t="s">
        <v>71</v>
      </c>
      <c r="C26" s="1"/>
      <c r="D26" s="1"/>
      <c r="E26" s="1"/>
      <c r="F26" s="59"/>
      <c r="G26" s="55">
        <v>21312.12</v>
      </c>
      <c r="H26" s="56">
        <f t="shared" si="33"/>
        <v>21951.4836</v>
      </c>
      <c r="I26" s="41"/>
      <c r="J26" s="50" t="s">
        <v>71</v>
      </c>
      <c r="K26" s="1"/>
      <c r="L26" s="1"/>
      <c r="M26" s="1"/>
      <c r="N26" s="59"/>
      <c r="O26" s="55">
        <v>102945.02</v>
      </c>
      <c r="P26" s="56">
        <f t="shared" si="34"/>
        <v>106033.3706</v>
      </c>
      <c r="Q26" s="41"/>
      <c r="R26" s="50" t="s">
        <v>71</v>
      </c>
      <c r="S26" s="1"/>
      <c r="T26" s="1"/>
      <c r="U26" s="1"/>
      <c r="V26" s="59"/>
      <c r="W26" s="55">
        <v>55299.38</v>
      </c>
      <c r="X26" s="56">
        <f t="shared" si="35"/>
        <v>56958.3614</v>
      </c>
      <c r="Y26" s="41"/>
      <c r="Z26" s="50" t="s">
        <v>71</v>
      </c>
      <c r="AA26" s="1"/>
      <c r="AB26" s="1"/>
      <c r="AC26" s="1"/>
      <c r="AD26" s="59"/>
      <c r="AE26" s="55">
        <v>95896.39</v>
      </c>
      <c r="AF26" s="56">
        <f t="shared" si="36"/>
        <v>98773.2817</v>
      </c>
    </row>
    <row r="27" ht="15.75" customHeight="1">
      <c r="A27" s="41"/>
      <c r="B27" s="50" t="s">
        <v>72</v>
      </c>
      <c r="C27" s="1"/>
      <c r="D27" s="1"/>
      <c r="E27" s="1"/>
      <c r="F27" s="1"/>
      <c r="G27" s="55">
        <v>40980.8358</v>
      </c>
      <c r="H27" s="56">
        <f t="shared" si="33"/>
        <v>42210.26087</v>
      </c>
      <c r="I27" s="41"/>
      <c r="J27" s="50" t="s">
        <v>72</v>
      </c>
      <c r="K27" s="1"/>
      <c r="L27" s="1"/>
      <c r="M27" s="1"/>
      <c r="N27" s="1"/>
      <c r="O27" s="55">
        <v>128784.96</v>
      </c>
      <c r="P27" s="56">
        <f t="shared" si="34"/>
        <v>132648.5088</v>
      </c>
      <c r="Q27" s="41"/>
      <c r="R27" s="50" t="s">
        <v>72</v>
      </c>
      <c r="S27" s="1"/>
      <c r="T27" s="1"/>
      <c r="U27" s="1"/>
      <c r="V27" s="1"/>
      <c r="W27" s="55">
        <v>84674.16</v>
      </c>
      <c r="X27" s="56">
        <f t="shared" si="35"/>
        <v>87214.3848</v>
      </c>
      <c r="Y27" s="41"/>
      <c r="Z27" s="50" t="s">
        <v>72</v>
      </c>
      <c r="AA27" s="1"/>
      <c r="AB27" s="1"/>
      <c r="AC27" s="1"/>
      <c r="AD27" s="1"/>
      <c r="AE27" s="55">
        <v>143322.1</v>
      </c>
      <c r="AF27" s="56">
        <f t="shared" si="36"/>
        <v>147621.763</v>
      </c>
    </row>
    <row r="28" ht="15.75" customHeight="1">
      <c r="A28" s="41"/>
      <c r="B28" s="50" t="s">
        <v>73</v>
      </c>
      <c r="C28" s="1"/>
      <c r="D28" s="1"/>
      <c r="E28" s="1"/>
      <c r="F28" s="1"/>
      <c r="G28" s="55">
        <v>22195.15</v>
      </c>
      <c r="H28" s="56">
        <f t="shared" si="33"/>
        <v>22861.0045</v>
      </c>
      <c r="I28" s="41"/>
      <c r="J28" s="50" t="s">
        <v>73</v>
      </c>
      <c r="K28" s="1"/>
      <c r="L28" s="1"/>
      <c r="M28" s="1"/>
      <c r="N28" s="1"/>
      <c r="O28" s="55">
        <v>87806.36</v>
      </c>
      <c r="P28" s="56">
        <f t="shared" si="34"/>
        <v>90440.5508</v>
      </c>
      <c r="Q28" s="41"/>
      <c r="R28" s="50" t="s">
        <v>73</v>
      </c>
      <c r="S28" s="1"/>
      <c r="T28" s="1"/>
      <c r="U28" s="1"/>
      <c r="V28" s="1"/>
      <c r="W28" s="55">
        <v>52829.71</v>
      </c>
      <c r="X28" s="56">
        <f t="shared" si="35"/>
        <v>54414.6013</v>
      </c>
      <c r="Y28" s="41"/>
      <c r="Z28" s="50" t="s">
        <v>73</v>
      </c>
      <c r="AA28" s="1"/>
      <c r="AB28" s="1"/>
      <c r="AC28" s="1"/>
      <c r="AD28" s="1"/>
      <c r="AE28" s="55">
        <v>88294.38</v>
      </c>
      <c r="AF28" s="56">
        <f t="shared" si="36"/>
        <v>90943.2114</v>
      </c>
    </row>
    <row r="29" ht="15.75" customHeight="1">
      <c r="A29" s="41"/>
      <c r="B29" s="50" t="s">
        <v>74</v>
      </c>
      <c r="C29" s="1"/>
      <c r="D29" s="1"/>
      <c r="E29" s="1"/>
      <c r="F29" s="1"/>
      <c r="G29" s="55">
        <v>6512.52</v>
      </c>
      <c r="H29" s="56">
        <f t="shared" si="33"/>
        <v>6707.8956</v>
      </c>
      <c r="I29" s="41"/>
      <c r="J29" s="50" t="s">
        <v>74</v>
      </c>
      <c r="K29" s="1"/>
      <c r="L29" s="1"/>
      <c r="M29" s="1"/>
      <c r="N29" s="1"/>
      <c r="O29" s="55">
        <v>26383.55</v>
      </c>
      <c r="P29" s="56">
        <f t="shared" si="34"/>
        <v>27175.0565</v>
      </c>
      <c r="Q29" s="41"/>
      <c r="R29" s="50" t="s">
        <v>74</v>
      </c>
      <c r="S29" s="1"/>
      <c r="T29" s="1"/>
      <c r="U29" s="1"/>
      <c r="V29" s="1"/>
      <c r="W29" s="55">
        <v>15346.96</v>
      </c>
      <c r="X29" s="56">
        <f t="shared" si="35"/>
        <v>15807.3688</v>
      </c>
      <c r="Y29" s="41"/>
      <c r="Z29" s="50" t="s">
        <v>74</v>
      </c>
      <c r="AA29" s="1"/>
      <c r="AB29" s="1"/>
      <c r="AC29" s="1"/>
      <c r="AD29" s="1"/>
      <c r="AE29" s="55">
        <v>22849.09</v>
      </c>
      <c r="AF29" s="56">
        <f t="shared" si="36"/>
        <v>23534.5627</v>
      </c>
    </row>
    <row r="30" ht="15.75" customHeight="1">
      <c r="A30" s="41"/>
      <c r="B30" s="50" t="s">
        <v>75</v>
      </c>
      <c r="C30" s="1"/>
      <c r="D30" s="1"/>
      <c r="E30" s="1"/>
      <c r="F30" s="59">
        <v>0.03</v>
      </c>
      <c r="G30" s="55">
        <v>21637.05</v>
      </c>
      <c r="H30" s="56">
        <f>$F$30*H18</f>
        <v>17760.48279</v>
      </c>
      <c r="I30" s="41"/>
      <c r="J30" s="50" t="s">
        <v>75</v>
      </c>
      <c r="K30" s="1"/>
      <c r="L30" s="1"/>
      <c r="M30" s="1"/>
      <c r="N30" s="59">
        <v>0.03</v>
      </c>
      <c r="O30" s="55">
        <v>75291.84</v>
      </c>
      <c r="P30" s="56">
        <f>$N$30*P18</f>
        <v>61512.23015</v>
      </c>
      <c r="Q30" s="41"/>
      <c r="R30" s="50" t="s">
        <v>75</v>
      </c>
      <c r="S30" s="1"/>
      <c r="T30" s="1"/>
      <c r="U30" s="1"/>
      <c r="V30" s="59">
        <v>0.03</v>
      </c>
      <c r="W30" s="55">
        <v>44170.12</v>
      </c>
      <c r="X30" s="56">
        <f>$V$30*X18</f>
        <v>36785.06123</v>
      </c>
      <c r="Y30" s="41"/>
      <c r="Z30" s="50" t="s">
        <v>75</v>
      </c>
      <c r="AA30" s="1"/>
      <c r="AB30" s="1"/>
      <c r="AC30" s="1"/>
      <c r="AD30" s="59">
        <v>0.03</v>
      </c>
      <c r="AE30" s="55">
        <v>76035.12</v>
      </c>
      <c r="AF30" s="56">
        <f>$N$30*AF18</f>
        <v>62364.60216</v>
      </c>
    </row>
    <row r="31" ht="15.75" customHeight="1">
      <c r="A31" s="41"/>
      <c r="B31" s="50" t="s">
        <v>76</v>
      </c>
      <c r="C31" s="1"/>
      <c r="D31" s="1"/>
      <c r="E31" s="1"/>
      <c r="F31" s="1"/>
      <c r="G31" s="55">
        <v>11003.71</v>
      </c>
      <c r="H31" s="56">
        <f t="shared" ref="H31:H33" si="37">G31*(1+$C$98)</f>
        <v>11333.8213</v>
      </c>
      <c r="I31" s="41"/>
      <c r="J31" s="50" t="s">
        <v>76</v>
      </c>
      <c r="K31" s="1"/>
      <c r="L31" s="1"/>
      <c r="M31" s="1"/>
      <c r="N31" s="1"/>
      <c r="O31" s="55">
        <v>16194.89</v>
      </c>
      <c r="P31" s="56">
        <f t="shared" ref="P31:P33" si="38">O31*(1+$C$98)</f>
        <v>16680.7367</v>
      </c>
      <c r="Q31" s="41"/>
      <c r="R31" s="50" t="s">
        <v>76</v>
      </c>
      <c r="S31" s="1"/>
      <c r="T31" s="1"/>
      <c r="U31" s="1"/>
      <c r="V31" s="1"/>
      <c r="W31" s="55">
        <v>15404.26</v>
      </c>
      <c r="X31" s="56">
        <f t="shared" ref="X31:X33" si="39">W31*(1+$C$98)</f>
        <v>15866.3878</v>
      </c>
      <c r="Y31" s="41"/>
      <c r="Z31" s="50" t="s">
        <v>76</v>
      </c>
      <c r="AA31" s="1"/>
      <c r="AB31" s="1"/>
      <c r="AC31" s="1"/>
      <c r="AD31" s="1"/>
      <c r="AE31" s="55">
        <v>29482.33</v>
      </c>
      <c r="AF31" s="56">
        <f t="shared" ref="AF31:AF33" si="40">AE31*(1+$C$98)</f>
        <v>30366.7999</v>
      </c>
    </row>
    <row r="32" ht="15.75" customHeight="1">
      <c r="A32" s="41"/>
      <c r="B32" s="50" t="s">
        <v>77</v>
      </c>
      <c r="C32" s="1"/>
      <c r="D32" s="1"/>
      <c r="E32" s="1"/>
      <c r="F32" s="59"/>
      <c r="G32" s="55">
        <v>8216.82</v>
      </c>
      <c r="H32" s="56">
        <f t="shared" si="37"/>
        <v>8463.3246</v>
      </c>
      <c r="I32" s="41"/>
      <c r="J32" s="50" t="s">
        <v>77</v>
      </c>
      <c r="K32" s="1"/>
      <c r="L32" s="1"/>
      <c r="M32" s="1"/>
      <c r="N32" s="59"/>
      <c r="O32" s="55">
        <v>32693.04</v>
      </c>
      <c r="P32" s="56">
        <f t="shared" si="38"/>
        <v>33673.8312</v>
      </c>
      <c r="Q32" s="41"/>
      <c r="R32" s="50" t="s">
        <v>77</v>
      </c>
      <c r="S32" s="1"/>
      <c r="T32" s="1"/>
      <c r="U32" s="1"/>
      <c r="V32" s="59"/>
      <c r="W32" s="55">
        <v>25715.06</v>
      </c>
      <c r="X32" s="56">
        <f t="shared" si="39"/>
        <v>26486.5118</v>
      </c>
      <c r="Y32" s="41"/>
      <c r="Z32" s="50" t="s">
        <v>77</v>
      </c>
      <c r="AA32" s="1"/>
      <c r="AB32" s="1"/>
      <c r="AC32" s="1"/>
      <c r="AD32" s="59"/>
      <c r="AE32" s="55">
        <v>33545.42</v>
      </c>
      <c r="AF32" s="56">
        <f t="shared" si="40"/>
        <v>34551.7826</v>
      </c>
    </row>
    <row r="33" ht="15.75" customHeight="1">
      <c r="A33" s="41"/>
      <c r="B33" s="50" t="s">
        <v>78</v>
      </c>
      <c r="C33" s="1"/>
      <c r="D33" s="1"/>
      <c r="E33" s="1"/>
      <c r="F33" s="1"/>
      <c r="G33" s="55">
        <v>11045.0</v>
      </c>
      <c r="H33" s="56">
        <f t="shared" si="37"/>
        <v>11376.35</v>
      </c>
      <c r="I33" s="41"/>
      <c r="J33" s="50" t="s">
        <v>78</v>
      </c>
      <c r="K33" s="1"/>
      <c r="L33" s="1"/>
      <c r="M33" s="1"/>
      <c r="N33" s="1"/>
      <c r="O33" s="55">
        <v>38835.0</v>
      </c>
      <c r="P33" s="56">
        <f t="shared" si="38"/>
        <v>40000.05</v>
      </c>
      <c r="Q33" s="41"/>
      <c r="R33" s="50" t="s">
        <v>78</v>
      </c>
      <c r="S33" s="1"/>
      <c r="T33" s="1"/>
      <c r="U33" s="1"/>
      <c r="V33" s="1"/>
      <c r="W33" s="55">
        <v>25800.0</v>
      </c>
      <c r="X33" s="56">
        <f t="shared" si="39"/>
        <v>26574</v>
      </c>
      <c r="Y33" s="41"/>
      <c r="Z33" s="50" t="s">
        <v>78</v>
      </c>
      <c r="AA33" s="1"/>
      <c r="AB33" s="1"/>
      <c r="AC33" s="1"/>
      <c r="AD33" s="1"/>
      <c r="AE33" s="55">
        <v>38920.0</v>
      </c>
      <c r="AF33" s="56">
        <f t="shared" si="40"/>
        <v>40087.6</v>
      </c>
    </row>
    <row r="34" ht="15.75" customHeight="1">
      <c r="A34" s="41"/>
      <c r="B34" s="50" t="s">
        <v>79</v>
      </c>
      <c r="C34" s="1"/>
      <c r="D34" s="1"/>
      <c r="E34" s="1"/>
      <c r="F34" s="1"/>
      <c r="G34" s="55">
        <v>119228.68</v>
      </c>
      <c r="H34" s="56">
        <v>121613.2536</v>
      </c>
      <c r="I34" s="41"/>
      <c r="J34" s="50" t="s">
        <v>79</v>
      </c>
      <c r="K34" s="1"/>
      <c r="L34" s="1"/>
      <c r="M34" s="1"/>
      <c r="N34" s="1"/>
      <c r="O34" s="55">
        <v>373845.85</v>
      </c>
      <c r="P34" s="56">
        <v>381322.767</v>
      </c>
      <c r="Q34" s="41"/>
      <c r="R34" s="50" t="s">
        <v>79</v>
      </c>
      <c r="S34" s="1"/>
      <c r="T34" s="1"/>
      <c r="U34" s="1"/>
      <c r="V34" s="1"/>
      <c r="W34" s="55">
        <v>273753.31</v>
      </c>
      <c r="X34" s="56">
        <v>279228.3762</v>
      </c>
      <c r="Y34" s="41"/>
      <c r="Z34" s="50" t="s">
        <v>79</v>
      </c>
      <c r="AA34" s="1"/>
      <c r="AB34" s="1"/>
      <c r="AC34" s="1"/>
      <c r="AD34" s="1"/>
      <c r="AE34" s="55">
        <v>425033.79</v>
      </c>
      <c r="AF34" s="56">
        <v>433534.4658</v>
      </c>
    </row>
    <row r="35" ht="15.75" customHeight="1">
      <c r="A35" s="41"/>
      <c r="B35" s="50" t="s">
        <v>80</v>
      </c>
      <c r="C35" s="1"/>
      <c r="D35" s="1"/>
      <c r="E35" s="1"/>
      <c r="F35" s="1"/>
      <c r="G35" s="55">
        <v>32442.18</v>
      </c>
      <c r="H35" s="56">
        <f t="shared" ref="H35:H36" si="41">G35*(1+$C$98)</f>
        <v>33415.4454</v>
      </c>
      <c r="I35" s="41"/>
      <c r="J35" s="50" t="s">
        <v>80</v>
      </c>
      <c r="K35" s="1"/>
      <c r="L35" s="1"/>
      <c r="M35" s="1"/>
      <c r="N35" s="1"/>
      <c r="O35" s="55">
        <v>138257.61</v>
      </c>
      <c r="P35" s="56">
        <f t="shared" ref="P35:P36" si="42">O35*(1+$C$98)</f>
        <v>142405.3383</v>
      </c>
      <c r="Q35" s="41"/>
      <c r="R35" s="50" t="s">
        <v>80</v>
      </c>
      <c r="S35" s="1"/>
      <c r="T35" s="1"/>
      <c r="U35" s="1"/>
      <c r="V35" s="1"/>
      <c r="W35" s="55">
        <v>55266.08</v>
      </c>
      <c r="X35" s="56">
        <f t="shared" ref="X35:X36" si="43">W35*(1+$C$98)</f>
        <v>56924.0624</v>
      </c>
      <c r="Y35" s="41"/>
      <c r="Z35" s="50" t="s">
        <v>80</v>
      </c>
      <c r="AA35" s="1"/>
      <c r="AB35" s="1"/>
      <c r="AC35" s="1"/>
      <c r="AD35" s="1"/>
      <c r="AE35" s="55">
        <v>129556.86</v>
      </c>
      <c r="AF35" s="56">
        <f t="shared" ref="AF35:AF36" si="44">AE35*(1+$C$98)</f>
        <v>133443.5658</v>
      </c>
    </row>
    <row r="36" ht="15.75" customHeight="1">
      <c r="A36" s="41"/>
      <c r="B36" s="50" t="s">
        <v>81</v>
      </c>
      <c r="C36" s="1"/>
      <c r="D36" s="1"/>
      <c r="E36" s="1"/>
      <c r="F36" s="1"/>
      <c r="G36" s="55">
        <v>4929.26</v>
      </c>
      <c r="H36" s="56">
        <f t="shared" si="41"/>
        <v>5077.1378</v>
      </c>
      <c r="I36" s="41"/>
      <c r="J36" s="50" t="s">
        <v>81</v>
      </c>
      <c r="K36" s="1"/>
      <c r="L36" s="1"/>
      <c r="M36" s="1"/>
      <c r="N36" s="1"/>
      <c r="O36" s="55">
        <v>19867.99</v>
      </c>
      <c r="P36" s="56">
        <f t="shared" si="42"/>
        <v>20464.0297</v>
      </c>
      <c r="Q36" s="41"/>
      <c r="R36" s="50" t="s">
        <v>81</v>
      </c>
      <c r="S36" s="1"/>
      <c r="T36" s="1"/>
      <c r="U36" s="1"/>
      <c r="V36" s="1"/>
      <c r="W36" s="55">
        <v>11115.25</v>
      </c>
      <c r="X36" s="56">
        <f t="shared" si="43"/>
        <v>11448.7075</v>
      </c>
      <c r="Y36" s="41"/>
      <c r="Z36" s="50" t="s">
        <v>81</v>
      </c>
      <c r="AA36" s="1"/>
      <c r="AB36" s="1"/>
      <c r="AC36" s="1"/>
      <c r="AD36" s="1"/>
      <c r="AE36" s="55">
        <v>20219.07</v>
      </c>
      <c r="AF36" s="56">
        <f t="shared" si="44"/>
        <v>20825.6421</v>
      </c>
    </row>
    <row r="37" ht="15.75" customHeight="1">
      <c r="A37" s="41"/>
      <c r="B37" s="69" t="s">
        <v>82</v>
      </c>
      <c r="C37" s="70"/>
      <c r="D37" s="70"/>
      <c r="E37" s="70"/>
      <c r="F37" s="70"/>
      <c r="G37" s="71">
        <f t="shared" ref="G37:H37" si="45">SUM(G25:G36)</f>
        <v>308285.2158</v>
      </c>
      <c r="H37" s="72">
        <f t="shared" si="45"/>
        <v>311815.8068</v>
      </c>
      <c r="I37" s="41"/>
      <c r="J37" s="69" t="s">
        <v>82</v>
      </c>
      <c r="K37" s="70"/>
      <c r="L37" s="70"/>
      <c r="M37" s="70"/>
      <c r="N37" s="70"/>
      <c r="O37" s="71">
        <f t="shared" ref="O37:P37" si="46">SUM(O25:O36)</f>
        <v>1056037.23</v>
      </c>
      <c r="P37" s="72">
        <f t="shared" si="46"/>
        <v>1067941.523</v>
      </c>
      <c r="Q37" s="41"/>
      <c r="R37" s="69" t="s">
        <v>82</v>
      </c>
      <c r="S37" s="70"/>
      <c r="T37" s="70"/>
      <c r="U37" s="70"/>
      <c r="V37" s="70"/>
      <c r="W37" s="71">
        <f t="shared" ref="W37:X37" si="47">SUM(W25:W36)</f>
        <v>670271.77</v>
      </c>
      <c r="X37" s="72">
        <f t="shared" si="47"/>
        <v>678932.2276</v>
      </c>
      <c r="Y37" s="41"/>
      <c r="Z37" s="69" t="s">
        <v>82</v>
      </c>
      <c r="AA37" s="70"/>
      <c r="AB37" s="70"/>
      <c r="AC37" s="70"/>
      <c r="AD37" s="70"/>
      <c r="AE37" s="71">
        <f t="shared" ref="AE37:AF37" si="48">SUM(AE25:AE36)</f>
        <v>1119896.8</v>
      </c>
      <c r="AF37" s="72">
        <f t="shared" si="48"/>
        <v>1133291.795</v>
      </c>
    </row>
    <row r="38" ht="15.75" customHeight="1">
      <c r="A38" s="41"/>
      <c r="B38" s="50"/>
      <c r="C38" s="1"/>
      <c r="D38" s="1"/>
      <c r="E38" s="1"/>
      <c r="F38" s="1"/>
      <c r="G38" s="77"/>
      <c r="H38" s="56"/>
      <c r="I38" s="41"/>
      <c r="J38" s="50"/>
      <c r="K38" s="1"/>
      <c r="L38" s="1"/>
      <c r="M38" s="1"/>
      <c r="N38" s="1"/>
      <c r="O38" s="55"/>
      <c r="P38" s="56"/>
      <c r="Q38" s="41"/>
      <c r="R38" s="50"/>
      <c r="S38" s="1"/>
      <c r="T38" s="1"/>
      <c r="U38" s="1"/>
      <c r="V38" s="1"/>
      <c r="W38" s="55"/>
      <c r="X38" s="56"/>
      <c r="Y38" s="41"/>
      <c r="Z38" s="50"/>
      <c r="AA38" s="1"/>
      <c r="AB38" s="1"/>
      <c r="AC38" s="1"/>
      <c r="AD38" s="1"/>
      <c r="AE38" s="55"/>
      <c r="AF38" s="56"/>
    </row>
    <row r="39" ht="15.75" customHeight="1">
      <c r="A39" s="41"/>
      <c r="B39" s="78" t="s">
        <v>83</v>
      </c>
      <c r="C39" s="79"/>
      <c r="D39" s="79"/>
      <c r="E39" s="79"/>
      <c r="F39" s="79"/>
      <c r="G39" s="80">
        <f t="shared" ref="G39:H39" si="49">G22-G37</f>
        <v>353641.2986</v>
      </c>
      <c r="H39" s="81">
        <f t="shared" si="49"/>
        <v>350022.4412</v>
      </c>
      <c r="I39" s="41"/>
      <c r="J39" s="78" t="s">
        <v>83</v>
      </c>
      <c r="K39" s="79"/>
      <c r="L39" s="79"/>
      <c r="M39" s="79"/>
      <c r="N39" s="79"/>
      <c r="O39" s="80">
        <f t="shared" ref="O39:P39" si="50">O22-O37</f>
        <v>1268480.263</v>
      </c>
      <c r="P39" s="81">
        <f t="shared" si="50"/>
        <v>1257229.659</v>
      </c>
      <c r="Q39" s="41"/>
      <c r="R39" s="78" t="s">
        <v>83</v>
      </c>
      <c r="S39" s="79"/>
      <c r="T39" s="79"/>
      <c r="U39" s="79"/>
      <c r="V39" s="79"/>
      <c r="W39" s="80">
        <f t="shared" ref="W39:X39" si="51">W22-W37</f>
        <v>726103.1776</v>
      </c>
      <c r="X39" s="81">
        <f t="shared" si="51"/>
        <v>718022.1911</v>
      </c>
      <c r="Y39" s="41"/>
      <c r="Z39" s="78" t="s">
        <v>83</v>
      </c>
      <c r="AA39" s="79"/>
      <c r="AB39" s="79"/>
      <c r="AC39" s="79"/>
      <c r="AD39" s="79"/>
      <c r="AE39" s="80">
        <f t="shared" ref="AE39:AF39" si="52">AE22-AE37</f>
        <v>1206227.79</v>
      </c>
      <c r="AF39" s="81">
        <f t="shared" si="52"/>
        <v>1192577.434</v>
      </c>
    </row>
    <row r="40" ht="15.75" customHeight="1">
      <c r="A40" s="41"/>
      <c r="B40" s="50"/>
      <c r="C40" s="1"/>
      <c r="D40" s="1"/>
      <c r="E40" s="1"/>
      <c r="F40" s="1"/>
      <c r="G40" s="1"/>
      <c r="H40" s="82"/>
      <c r="I40" s="41"/>
      <c r="J40" s="50"/>
      <c r="K40" s="1"/>
      <c r="L40" s="1"/>
      <c r="M40" s="1"/>
      <c r="N40" s="1"/>
      <c r="O40" s="1"/>
      <c r="P40" s="82"/>
      <c r="Q40" s="41"/>
      <c r="R40" s="50"/>
      <c r="S40" s="1"/>
      <c r="T40" s="1"/>
      <c r="U40" s="1"/>
      <c r="V40" s="1"/>
      <c r="W40" s="1"/>
      <c r="X40" s="82"/>
      <c r="Y40" s="41"/>
      <c r="Z40" s="50"/>
      <c r="AA40" s="1"/>
      <c r="AB40" s="1"/>
      <c r="AC40" s="1"/>
      <c r="AD40" s="1"/>
      <c r="AE40" s="1"/>
      <c r="AF40" s="82"/>
    </row>
    <row r="41" ht="15.75" customHeight="1">
      <c r="A41" s="41"/>
      <c r="B41" s="83" t="s">
        <v>84</v>
      </c>
      <c r="C41" s="84"/>
      <c r="D41" s="85"/>
      <c r="E41" s="1"/>
      <c r="F41" s="86" t="s">
        <v>85</v>
      </c>
      <c r="G41" s="87"/>
      <c r="H41" s="88"/>
      <c r="I41" s="41"/>
      <c r="J41" s="83" t="s">
        <v>84</v>
      </c>
      <c r="K41" s="84"/>
      <c r="L41" s="84"/>
      <c r="M41" s="1"/>
      <c r="N41" s="89" t="s">
        <v>85</v>
      </c>
      <c r="O41" s="90"/>
      <c r="P41" s="91"/>
      <c r="Q41" s="41"/>
      <c r="R41" s="83" t="s">
        <v>84</v>
      </c>
      <c r="S41" s="84"/>
      <c r="T41" s="84"/>
      <c r="U41" s="1"/>
      <c r="V41" s="89" t="s">
        <v>85</v>
      </c>
      <c r="W41" s="90"/>
      <c r="X41" s="91"/>
      <c r="Y41" s="41"/>
      <c r="Z41" s="83" t="s">
        <v>84</v>
      </c>
      <c r="AA41" s="84"/>
      <c r="AB41" s="84"/>
      <c r="AC41" s="1"/>
      <c r="AD41" s="89" t="s">
        <v>85</v>
      </c>
      <c r="AE41" s="90"/>
      <c r="AF41" s="91"/>
    </row>
    <row r="42" ht="15.75" customHeight="1">
      <c r="A42" s="41"/>
      <c r="B42" s="46" t="s">
        <v>86</v>
      </c>
      <c r="C42" s="92"/>
      <c r="D42" s="93">
        <f>D43+D51</f>
        <v>5839094.016</v>
      </c>
      <c r="E42" s="1"/>
      <c r="F42" s="9" t="s">
        <v>87</v>
      </c>
      <c r="G42" s="1"/>
      <c r="H42" s="94">
        <f>MIN(H57,H63,H68)</f>
        <v>3830708.352</v>
      </c>
      <c r="I42" s="41"/>
      <c r="J42" s="46" t="s">
        <v>86</v>
      </c>
      <c r="K42" s="92"/>
      <c r="L42" s="93">
        <f>L43+L51</f>
        <v>20973175.76</v>
      </c>
      <c r="M42" s="1"/>
      <c r="N42" s="9" t="s">
        <v>87</v>
      </c>
      <c r="O42" s="1"/>
      <c r="P42" s="94">
        <f>MIN(P57,P63,P68)</f>
        <v>13759346.8</v>
      </c>
      <c r="Q42" s="41"/>
      <c r="R42" s="46" t="s">
        <v>86</v>
      </c>
      <c r="S42" s="92"/>
      <c r="T42" s="93">
        <f>T43+T51</f>
        <v>11978086.51</v>
      </c>
      <c r="U42" s="1"/>
      <c r="V42" s="9" t="s">
        <v>87</v>
      </c>
      <c r="W42" s="1"/>
      <c r="X42" s="94">
        <f>MIN(X57,X63,X68)</f>
        <v>7858163.595</v>
      </c>
      <c r="Y42" s="41"/>
      <c r="Z42" s="46" t="s">
        <v>86</v>
      </c>
      <c r="AA42" s="92"/>
      <c r="AB42" s="93">
        <f>AB43+AB51</f>
        <v>19894643.71</v>
      </c>
      <c r="AC42" s="1"/>
      <c r="AD42" s="9" t="s">
        <v>87</v>
      </c>
      <c r="AE42" s="1"/>
      <c r="AF42" s="94">
        <f>MIN(AF57,AF63,AF68)</f>
        <v>13051781.25</v>
      </c>
    </row>
    <row r="43" ht="15.75" customHeight="1">
      <c r="A43" s="41"/>
      <c r="B43" s="95" t="s">
        <v>88</v>
      </c>
      <c r="C43" s="96"/>
      <c r="D43" s="97">
        <f>D53-D50</f>
        <v>2008385.664</v>
      </c>
      <c r="E43" s="1"/>
      <c r="F43" s="9" t="s">
        <v>89</v>
      </c>
      <c r="G43" s="1"/>
      <c r="H43" s="98">
        <f>H42/D62</f>
        <v>0.7</v>
      </c>
      <c r="I43" s="41"/>
      <c r="J43" s="95" t="s">
        <v>88</v>
      </c>
      <c r="K43" s="96"/>
      <c r="L43" s="97">
        <f>L53-L50</f>
        <v>7213828.965</v>
      </c>
      <c r="M43" s="1"/>
      <c r="N43" s="9" t="s">
        <v>89</v>
      </c>
      <c r="O43" s="1"/>
      <c r="P43" s="98">
        <f>P42/L62</f>
        <v>0.7</v>
      </c>
      <c r="Q43" s="41"/>
      <c r="R43" s="95" t="s">
        <v>88</v>
      </c>
      <c r="S43" s="96"/>
      <c r="T43" s="97">
        <f>T53-T50</f>
        <v>4119922.913</v>
      </c>
      <c r="U43" s="1"/>
      <c r="V43" s="9" t="s">
        <v>89</v>
      </c>
      <c r="W43" s="1"/>
      <c r="X43" s="98">
        <f>X42/T62</f>
        <v>0.7</v>
      </c>
      <c r="Y43" s="41"/>
      <c r="Z43" s="95" t="s">
        <v>88</v>
      </c>
      <c r="AA43" s="96"/>
      <c r="AB43" s="97">
        <f>AB53-AB50</f>
        <v>6842862.458</v>
      </c>
      <c r="AC43" s="1"/>
      <c r="AD43" s="9" t="s">
        <v>89</v>
      </c>
      <c r="AE43" s="1"/>
      <c r="AF43" s="98">
        <f>AF42/AB62</f>
        <v>0.7</v>
      </c>
    </row>
    <row r="44" ht="15.75" customHeight="1">
      <c r="A44" s="41"/>
      <c r="B44" s="50" t="s">
        <v>90</v>
      </c>
      <c r="C44" s="59">
        <v>0.1</v>
      </c>
      <c r="D44" s="99">
        <f>D43*C44</f>
        <v>200838.5664</v>
      </c>
      <c r="E44" s="1"/>
      <c r="F44" s="9" t="s">
        <v>91</v>
      </c>
      <c r="G44" s="1"/>
      <c r="H44" s="98">
        <v>0.0568</v>
      </c>
      <c r="I44" s="41"/>
      <c r="J44" s="50" t="s">
        <v>90</v>
      </c>
      <c r="K44" s="59">
        <f t="shared" ref="K44:K45" si="53">C44</f>
        <v>0.1</v>
      </c>
      <c r="L44" s="99">
        <f>L43*K44</f>
        <v>721382.8965</v>
      </c>
      <c r="M44" s="1"/>
      <c r="N44" s="9" t="s">
        <v>91</v>
      </c>
      <c r="O44" s="1"/>
      <c r="P44" s="98">
        <f t="shared" ref="P44:P47" si="54">H44</f>
        <v>0.0568</v>
      </c>
      <c r="Q44" s="41"/>
      <c r="R44" s="50" t="s">
        <v>90</v>
      </c>
      <c r="S44" s="59">
        <f t="shared" ref="S44:S45" si="55">K44</f>
        <v>0.1</v>
      </c>
      <c r="T44" s="99">
        <f>T43*S44</f>
        <v>411992.2913</v>
      </c>
      <c r="U44" s="1"/>
      <c r="V44" s="9" t="s">
        <v>91</v>
      </c>
      <c r="W44" s="1"/>
      <c r="X44" s="98">
        <f t="shared" ref="X44:X47" si="56">H44</f>
        <v>0.0568</v>
      </c>
      <c r="Y44" s="41"/>
      <c r="Z44" s="50" t="s">
        <v>90</v>
      </c>
      <c r="AA44" s="59">
        <f t="shared" ref="AA44:AA45" si="57">S44</f>
        <v>0.1</v>
      </c>
      <c r="AB44" s="99">
        <f>AB43*AA44</f>
        <v>684286.2458</v>
      </c>
      <c r="AC44" s="1"/>
      <c r="AD44" s="9" t="s">
        <v>91</v>
      </c>
      <c r="AE44" s="1"/>
      <c r="AF44" s="98">
        <f t="shared" ref="AF44:AF47" si="58">X44</f>
        <v>0.0568</v>
      </c>
    </row>
    <row r="45" ht="15.75" customHeight="1">
      <c r="A45" s="41"/>
      <c r="B45" s="100" t="s">
        <v>92</v>
      </c>
      <c r="C45" s="59">
        <v>0.2</v>
      </c>
      <c r="D45" s="99">
        <f t="shared" ref="D45:D46" si="59">C45*$D$44</f>
        <v>40167.71329</v>
      </c>
      <c r="E45" s="1"/>
      <c r="F45" s="9" t="s">
        <v>93</v>
      </c>
      <c r="G45" s="1"/>
      <c r="H45" s="82">
        <v>30.0</v>
      </c>
      <c r="I45" s="41"/>
      <c r="J45" s="100" t="s">
        <v>92</v>
      </c>
      <c r="K45" s="59">
        <f t="shared" si="53"/>
        <v>0.2</v>
      </c>
      <c r="L45" s="99">
        <f t="shared" ref="L45:L46" si="60">K45*$L$44</f>
        <v>144276.5793</v>
      </c>
      <c r="M45" s="1"/>
      <c r="N45" s="9" t="s">
        <v>93</v>
      </c>
      <c r="O45" s="1"/>
      <c r="P45" s="82">
        <f t="shared" si="54"/>
        <v>30</v>
      </c>
      <c r="Q45" s="41"/>
      <c r="R45" s="100" t="s">
        <v>92</v>
      </c>
      <c r="S45" s="59">
        <f t="shared" si="55"/>
        <v>0.2</v>
      </c>
      <c r="T45" s="99">
        <f t="shared" ref="T45:T46" si="61">S45*$T$44</f>
        <v>82398.45827</v>
      </c>
      <c r="U45" s="1"/>
      <c r="V45" s="9" t="s">
        <v>93</v>
      </c>
      <c r="W45" s="1"/>
      <c r="X45" s="82">
        <f t="shared" si="56"/>
        <v>30</v>
      </c>
      <c r="Y45" s="41"/>
      <c r="Z45" s="100" t="s">
        <v>92</v>
      </c>
      <c r="AA45" s="59">
        <f t="shared" si="57"/>
        <v>0.2</v>
      </c>
      <c r="AB45" s="99">
        <f t="shared" ref="AB45:AB46" si="62">AA45*$AB$44</f>
        <v>136857.2492</v>
      </c>
      <c r="AC45" s="1"/>
      <c r="AD45" s="9" t="s">
        <v>93</v>
      </c>
      <c r="AE45" s="1"/>
      <c r="AF45" s="82">
        <f t="shared" si="58"/>
        <v>30</v>
      </c>
    </row>
    <row r="46" ht="15.75" customHeight="1">
      <c r="A46" s="41"/>
      <c r="B46" s="100" t="s">
        <v>94</v>
      </c>
      <c r="C46" s="59">
        <f>1-C45</f>
        <v>0.8</v>
      </c>
      <c r="D46" s="99">
        <f t="shared" si="59"/>
        <v>160670.8532</v>
      </c>
      <c r="E46" s="1"/>
      <c r="F46" s="9" t="s">
        <v>95</v>
      </c>
      <c r="G46" s="1"/>
      <c r="H46" s="82">
        <v>10.0</v>
      </c>
      <c r="I46" s="41"/>
      <c r="J46" s="100" t="s">
        <v>94</v>
      </c>
      <c r="K46" s="59">
        <f>1-K45</f>
        <v>0.8</v>
      </c>
      <c r="L46" s="99">
        <f t="shared" si="60"/>
        <v>577106.3172</v>
      </c>
      <c r="M46" s="1"/>
      <c r="N46" s="9" t="s">
        <v>95</v>
      </c>
      <c r="O46" s="1"/>
      <c r="P46" s="82">
        <f t="shared" si="54"/>
        <v>10</v>
      </c>
      <c r="Q46" s="41"/>
      <c r="R46" s="100" t="s">
        <v>94</v>
      </c>
      <c r="S46" s="59">
        <f>1-S45</f>
        <v>0.8</v>
      </c>
      <c r="T46" s="99">
        <f t="shared" si="61"/>
        <v>329593.8331</v>
      </c>
      <c r="U46" s="1"/>
      <c r="V46" s="9" t="s">
        <v>95</v>
      </c>
      <c r="W46" s="1"/>
      <c r="X46" s="82">
        <f t="shared" si="56"/>
        <v>10</v>
      </c>
      <c r="Y46" s="41"/>
      <c r="Z46" s="100" t="s">
        <v>94</v>
      </c>
      <c r="AA46" s="59">
        <f>1-AA45</f>
        <v>0.8</v>
      </c>
      <c r="AB46" s="99">
        <f t="shared" si="62"/>
        <v>547428.9966</v>
      </c>
      <c r="AC46" s="1"/>
      <c r="AD46" s="9" t="s">
        <v>95</v>
      </c>
      <c r="AE46" s="1"/>
      <c r="AF46" s="82">
        <f t="shared" si="58"/>
        <v>10</v>
      </c>
    </row>
    <row r="47" ht="15.75" customHeight="1">
      <c r="A47" s="41"/>
      <c r="B47" s="50"/>
      <c r="C47" s="1"/>
      <c r="D47" s="10"/>
      <c r="E47" s="1"/>
      <c r="F47" s="9" t="s">
        <v>96</v>
      </c>
      <c r="G47" s="1"/>
      <c r="H47" s="101">
        <v>36.0</v>
      </c>
      <c r="I47" s="41"/>
      <c r="J47" s="50"/>
      <c r="K47" s="1"/>
      <c r="L47" s="10"/>
      <c r="M47" s="1"/>
      <c r="N47" s="9" t="s">
        <v>96</v>
      </c>
      <c r="O47" s="1"/>
      <c r="P47" s="102">
        <f t="shared" si="54"/>
        <v>36</v>
      </c>
      <c r="Q47" s="41"/>
      <c r="R47" s="50"/>
      <c r="S47" s="1"/>
      <c r="T47" s="10"/>
      <c r="U47" s="1"/>
      <c r="V47" s="9" t="s">
        <v>96</v>
      </c>
      <c r="W47" s="1"/>
      <c r="X47" s="102">
        <f t="shared" si="56"/>
        <v>36</v>
      </c>
      <c r="Y47" s="41"/>
      <c r="Z47" s="50"/>
      <c r="AA47" s="1"/>
      <c r="AB47" s="10"/>
      <c r="AC47" s="1"/>
      <c r="AD47" s="9" t="s">
        <v>96</v>
      </c>
      <c r="AE47" s="1"/>
      <c r="AF47" s="102">
        <f t="shared" si="58"/>
        <v>36</v>
      </c>
    </row>
    <row r="48" ht="15.75" customHeight="1">
      <c r="A48" s="41"/>
      <c r="B48" s="103" t="s">
        <v>97</v>
      </c>
      <c r="C48" s="104">
        <f>1-C44</f>
        <v>0.9</v>
      </c>
      <c r="D48" s="105">
        <f>D43*C48</f>
        <v>1807547.098</v>
      </c>
      <c r="E48" s="1"/>
      <c r="F48" s="9" t="s">
        <v>98</v>
      </c>
      <c r="G48" s="59">
        <v>0.01</v>
      </c>
      <c r="H48" s="106">
        <f>H42*G48</f>
        <v>38307.08352</v>
      </c>
      <c r="I48" s="41"/>
      <c r="J48" s="103" t="s">
        <v>97</v>
      </c>
      <c r="K48" s="104">
        <f>1-K44</f>
        <v>0.9</v>
      </c>
      <c r="L48" s="105">
        <f>L43*K48</f>
        <v>6492446.068</v>
      </c>
      <c r="M48" s="1"/>
      <c r="N48" s="9" t="s">
        <v>98</v>
      </c>
      <c r="O48" s="59">
        <f>G48</f>
        <v>0.01</v>
      </c>
      <c r="P48" s="106">
        <f>P42*O48</f>
        <v>137593.468</v>
      </c>
      <c r="Q48" s="41"/>
      <c r="R48" s="103" t="s">
        <v>97</v>
      </c>
      <c r="S48" s="104">
        <f>1-S44</f>
        <v>0.9</v>
      </c>
      <c r="T48" s="105">
        <f>T43*S48</f>
        <v>3707930.622</v>
      </c>
      <c r="U48" s="1"/>
      <c r="V48" s="9" t="s">
        <v>98</v>
      </c>
      <c r="W48" s="59">
        <f>G48</f>
        <v>0.01</v>
      </c>
      <c r="X48" s="106">
        <f>X42*W48</f>
        <v>78581.63595</v>
      </c>
      <c r="Y48" s="41"/>
      <c r="Z48" s="103" t="s">
        <v>97</v>
      </c>
      <c r="AA48" s="104">
        <f>1-AA44</f>
        <v>0.9</v>
      </c>
      <c r="AB48" s="105">
        <f>AB43*AA48</f>
        <v>6158576.212</v>
      </c>
      <c r="AC48" s="1"/>
      <c r="AD48" s="9" t="s">
        <v>98</v>
      </c>
      <c r="AE48" s="59">
        <f>W48</f>
        <v>0.01</v>
      </c>
      <c r="AF48" s="106">
        <f>AF42*AE48</f>
        <v>130517.8125</v>
      </c>
    </row>
    <row r="49" ht="15.75" customHeight="1">
      <c r="A49" s="41"/>
      <c r="B49" s="50"/>
      <c r="C49" s="1"/>
      <c r="D49" s="10"/>
      <c r="E49" s="1"/>
      <c r="F49" s="9"/>
      <c r="G49" s="1"/>
      <c r="H49" s="82"/>
      <c r="I49" s="41"/>
      <c r="J49" s="50"/>
      <c r="K49" s="1"/>
      <c r="L49" s="10"/>
      <c r="M49" s="1"/>
      <c r="N49" s="9"/>
      <c r="O49" s="1"/>
      <c r="P49" s="82"/>
      <c r="Q49" s="41"/>
      <c r="R49" s="50"/>
      <c r="S49" s="1"/>
      <c r="T49" s="10"/>
      <c r="U49" s="1"/>
      <c r="V49" s="9"/>
      <c r="W49" s="1"/>
      <c r="X49" s="82"/>
      <c r="Y49" s="41"/>
      <c r="Z49" s="50"/>
      <c r="AA49" s="1"/>
      <c r="AB49" s="10"/>
      <c r="AC49" s="1"/>
      <c r="AD49" s="9"/>
      <c r="AE49" s="1"/>
      <c r="AF49" s="82"/>
    </row>
    <row r="50" ht="14.25" customHeight="1">
      <c r="A50" s="41"/>
      <c r="B50" s="107" t="s">
        <v>99</v>
      </c>
      <c r="C50" s="40"/>
      <c r="D50" s="108">
        <f>D51</f>
        <v>3830708.352</v>
      </c>
      <c r="E50" s="1"/>
      <c r="F50" s="109" t="s">
        <v>100</v>
      </c>
      <c r="G50" s="110"/>
      <c r="H50" s="111"/>
      <c r="I50" s="41"/>
      <c r="J50" s="107" t="s">
        <v>99</v>
      </c>
      <c r="K50" s="40"/>
      <c r="L50" s="108">
        <f>L51</f>
        <v>13759346.8</v>
      </c>
      <c r="M50" s="1"/>
      <c r="N50" s="109" t="s">
        <v>100</v>
      </c>
      <c r="O50" s="110"/>
      <c r="P50" s="111"/>
      <c r="Q50" s="41"/>
      <c r="R50" s="107" t="s">
        <v>99</v>
      </c>
      <c r="S50" s="40"/>
      <c r="T50" s="108">
        <f>T51</f>
        <v>7858163.595</v>
      </c>
      <c r="U50" s="1"/>
      <c r="V50" s="109" t="s">
        <v>100</v>
      </c>
      <c r="W50" s="110"/>
      <c r="X50" s="111"/>
      <c r="Y50" s="41"/>
      <c r="Z50" s="107" t="s">
        <v>99</v>
      </c>
      <c r="AA50" s="40"/>
      <c r="AB50" s="108">
        <f>AB51</f>
        <v>13051781.25</v>
      </c>
      <c r="AC50" s="1"/>
      <c r="AD50" s="109" t="s">
        <v>100</v>
      </c>
      <c r="AE50" s="110"/>
      <c r="AF50" s="111"/>
    </row>
    <row r="51" ht="14.25" customHeight="1">
      <c r="A51" s="41"/>
      <c r="B51" s="50" t="s">
        <v>101</v>
      </c>
      <c r="C51" s="1"/>
      <c r="D51" s="99">
        <f>Assumptions!H42</f>
        <v>3830708.352</v>
      </c>
      <c r="E51" s="1"/>
      <c r="F51" s="9"/>
      <c r="G51" s="1"/>
      <c r="H51" s="82"/>
      <c r="I51" s="41"/>
      <c r="J51" s="50" t="s">
        <v>101</v>
      </c>
      <c r="K51" s="1"/>
      <c r="L51" s="99">
        <f>Assumptions!P42</f>
        <v>13759346.8</v>
      </c>
      <c r="M51" s="1"/>
      <c r="N51" s="9"/>
      <c r="O51" s="1"/>
      <c r="P51" s="82"/>
      <c r="Q51" s="41"/>
      <c r="R51" s="50" t="s">
        <v>101</v>
      </c>
      <c r="S51" s="1"/>
      <c r="T51" s="99">
        <f>Assumptions!X42</f>
        <v>7858163.595</v>
      </c>
      <c r="U51" s="1"/>
      <c r="V51" s="9"/>
      <c r="W51" s="1"/>
      <c r="X51" s="82"/>
      <c r="Y51" s="41"/>
      <c r="Z51" s="50" t="s">
        <v>101</v>
      </c>
      <c r="AA51" s="1"/>
      <c r="AB51" s="99">
        <f>Assumptions!AF42</f>
        <v>13051781.25</v>
      </c>
      <c r="AC51" s="1"/>
      <c r="AD51" s="9"/>
      <c r="AE51" s="1"/>
      <c r="AF51" s="82"/>
    </row>
    <row r="52" ht="15.75" customHeight="1">
      <c r="A52" s="41"/>
      <c r="B52" s="103"/>
      <c r="C52" s="1"/>
      <c r="D52" s="10"/>
      <c r="E52" s="1"/>
      <c r="F52" s="112" t="s">
        <v>102</v>
      </c>
      <c r="G52" s="1"/>
      <c r="H52" s="82"/>
      <c r="I52" s="41"/>
      <c r="J52" s="103"/>
      <c r="K52" s="1"/>
      <c r="L52" s="10"/>
      <c r="M52" s="1"/>
      <c r="N52" s="112" t="s">
        <v>102</v>
      </c>
      <c r="O52" s="1"/>
      <c r="P52" s="82"/>
      <c r="Q52" s="41"/>
      <c r="R52" s="103"/>
      <c r="S52" s="1"/>
      <c r="T52" s="10"/>
      <c r="U52" s="1"/>
      <c r="V52" s="112" t="s">
        <v>102</v>
      </c>
      <c r="W52" s="1"/>
      <c r="X52" s="82"/>
      <c r="Y52" s="41"/>
      <c r="Z52" s="103"/>
      <c r="AA52" s="1"/>
      <c r="AB52" s="10"/>
      <c r="AC52" s="1"/>
      <c r="AD52" s="112" t="s">
        <v>102</v>
      </c>
      <c r="AE52" s="1"/>
      <c r="AF52" s="82"/>
    </row>
    <row r="53" ht="15.75" customHeight="1">
      <c r="A53" s="41"/>
      <c r="B53" s="46" t="s">
        <v>103</v>
      </c>
      <c r="C53" s="92"/>
      <c r="D53" s="93">
        <f>SUM(D54:D57)</f>
        <v>5839094.016</v>
      </c>
      <c r="E53" s="1"/>
      <c r="F53" s="9" t="s">
        <v>104</v>
      </c>
      <c r="G53" s="1"/>
      <c r="H53" s="113">
        <v>0.7</v>
      </c>
      <c r="I53" s="41"/>
      <c r="J53" s="46" t="s">
        <v>103</v>
      </c>
      <c r="K53" s="92"/>
      <c r="L53" s="93">
        <f>SUM(L54:L57)</f>
        <v>20973175.76</v>
      </c>
      <c r="M53" s="1"/>
      <c r="N53" s="9" t="s">
        <v>104</v>
      </c>
      <c r="O53" s="1"/>
      <c r="P53" s="113">
        <f>H53</f>
        <v>0.7</v>
      </c>
      <c r="Q53" s="41"/>
      <c r="R53" s="46" t="s">
        <v>103</v>
      </c>
      <c r="S53" s="92"/>
      <c r="T53" s="93">
        <f>SUM(T54:T57)</f>
        <v>11978086.51</v>
      </c>
      <c r="U53" s="1"/>
      <c r="V53" s="9" t="s">
        <v>104</v>
      </c>
      <c r="W53" s="1"/>
      <c r="X53" s="113">
        <f>H53</f>
        <v>0.7</v>
      </c>
      <c r="Y53" s="41"/>
      <c r="Z53" s="46" t="s">
        <v>103</v>
      </c>
      <c r="AA53" s="92"/>
      <c r="AB53" s="93">
        <f>SUM(AB54:AB57)</f>
        <v>19894643.71</v>
      </c>
      <c r="AC53" s="1"/>
      <c r="AD53" s="9" t="s">
        <v>104</v>
      </c>
      <c r="AE53" s="1"/>
      <c r="AF53" s="113">
        <f>H53</f>
        <v>0.7</v>
      </c>
    </row>
    <row r="54" ht="15.75" customHeight="1">
      <c r="A54" s="41"/>
      <c r="B54" s="50" t="s">
        <v>105</v>
      </c>
      <c r="C54" s="1"/>
      <c r="D54" s="99">
        <f>D62</f>
        <v>5472440.503</v>
      </c>
      <c r="E54" s="1"/>
      <c r="F54" s="9" t="s">
        <v>106</v>
      </c>
      <c r="G54" s="1"/>
      <c r="H54" s="94">
        <f>H39</f>
        <v>350022.4412</v>
      </c>
      <c r="I54" s="41"/>
      <c r="J54" s="50" t="s">
        <v>105</v>
      </c>
      <c r="K54" s="1"/>
      <c r="L54" s="99">
        <f>L62</f>
        <v>19656209.71</v>
      </c>
      <c r="M54" s="1"/>
      <c r="N54" s="9" t="s">
        <v>106</v>
      </c>
      <c r="O54" s="1"/>
      <c r="P54" s="94">
        <f>P39</f>
        <v>1257229.659</v>
      </c>
      <c r="Q54" s="41"/>
      <c r="R54" s="50" t="s">
        <v>105</v>
      </c>
      <c r="S54" s="1"/>
      <c r="T54" s="99">
        <f>T62</f>
        <v>11225947.99</v>
      </c>
      <c r="U54" s="1"/>
      <c r="V54" s="9" t="s">
        <v>106</v>
      </c>
      <c r="W54" s="1"/>
      <c r="X54" s="94">
        <f>X39</f>
        <v>718022.1911</v>
      </c>
      <c r="Y54" s="41"/>
      <c r="Z54" s="50" t="s">
        <v>105</v>
      </c>
      <c r="AA54" s="1"/>
      <c r="AB54" s="99">
        <f>AB62</f>
        <v>18645401.79</v>
      </c>
      <c r="AC54" s="1"/>
      <c r="AD54" s="9" t="s">
        <v>106</v>
      </c>
      <c r="AE54" s="1"/>
      <c r="AF54" s="94">
        <f>AF39</f>
        <v>1192577.434</v>
      </c>
    </row>
    <row r="55" ht="15.75" customHeight="1">
      <c r="A55" s="41"/>
      <c r="B55" s="50" t="s">
        <v>107</v>
      </c>
      <c r="C55" s="32">
        <v>0.01</v>
      </c>
      <c r="D55" s="99">
        <f>D54*C55</f>
        <v>54724.40503</v>
      </c>
      <c r="E55" s="1"/>
      <c r="F55" s="9" t="s">
        <v>108</v>
      </c>
      <c r="G55" s="1"/>
      <c r="H55" s="113">
        <f t="shared" ref="H55:H56" si="63">D61</f>
        <v>0.06396094046</v>
      </c>
      <c r="I55" s="41"/>
      <c r="J55" s="50" t="s">
        <v>107</v>
      </c>
      <c r="K55" s="32">
        <f>C55</f>
        <v>0.01</v>
      </c>
      <c r="L55" s="99">
        <f>L54*K55</f>
        <v>196562.0971</v>
      </c>
      <c r="M55" s="1"/>
      <c r="N55" s="9" t="s">
        <v>108</v>
      </c>
      <c r="O55" s="1"/>
      <c r="P55" s="113">
        <f t="shared" ref="P55:P56" si="64">L61</f>
        <v>0.06396094046</v>
      </c>
      <c r="Q55" s="41"/>
      <c r="R55" s="50" t="s">
        <v>107</v>
      </c>
      <c r="S55" s="32">
        <f>K55</f>
        <v>0.01</v>
      </c>
      <c r="T55" s="99">
        <f>T54*S55</f>
        <v>112259.4799</v>
      </c>
      <c r="U55" s="1"/>
      <c r="V55" s="9" t="s">
        <v>108</v>
      </c>
      <c r="W55" s="1"/>
      <c r="X55" s="113">
        <f t="shared" ref="X55:X56" si="65">T61</f>
        <v>0.06396094046</v>
      </c>
      <c r="Y55" s="41"/>
      <c r="Z55" s="50" t="s">
        <v>107</v>
      </c>
      <c r="AA55" s="32">
        <f>S55</f>
        <v>0.01</v>
      </c>
      <c r="AB55" s="99">
        <f>AB54*AA55</f>
        <v>186454.0179</v>
      </c>
      <c r="AC55" s="1"/>
      <c r="AD55" s="9" t="s">
        <v>108</v>
      </c>
      <c r="AE55" s="1"/>
      <c r="AF55" s="113">
        <f t="shared" ref="AF55:AF56" si="66">AB61</f>
        <v>0.06396094046</v>
      </c>
    </row>
    <row r="56" ht="15.75" customHeight="1">
      <c r="A56" s="41"/>
      <c r="B56" s="50" t="s">
        <v>98</v>
      </c>
      <c r="C56" s="1"/>
      <c r="D56" s="99">
        <f>Assumptions!H48</f>
        <v>38307.08352</v>
      </c>
      <c r="E56" s="1"/>
      <c r="F56" s="9" t="s">
        <v>109</v>
      </c>
      <c r="G56" s="1"/>
      <c r="H56" s="94">
        <f t="shared" si="63"/>
        <v>5472440.503</v>
      </c>
      <c r="I56" s="41"/>
      <c r="J56" s="50" t="s">
        <v>98</v>
      </c>
      <c r="K56" s="1"/>
      <c r="L56" s="99">
        <f>P48</f>
        <v>137593.468</v>
      </c>
      <c r="M56" s="1"/>
      <c r="N56" s="9" t="s">
        <v>109</v>
      </c>
      <c r="O56" s="1"/>
      <c r="P56" s="94">
        <f t="shared" si="64"/>
        <v>19656209.71</v>
      </c>
      <c r="Q56" s="41"/>
      <c r="R56" s="50" t="s">
        <v>98</v>
      </c>
      <c r="S56" s="1"/>
      <c r="T56" s="99">
        <f>X48</f>
        <v>78581.63595</v>
      </c>
      <c r="U56" s="1"/>
      <c r="V56" s="9" t="s">
        <v>109</v>
      </c>
      <c r="W56" s="1"/>
      <c r="X56" s="94">
        <f t="shared" si="65"/>
        <v>11225947.99</v>
      </c>
      <c r="Y56" s="41"/>
      <c r="Z56" s="50" t="s">
        <v>98</v>
      </c>
      <c r="AA56" s="1"/>
      <c r="AB56" s="99">
        <f>AF48</f>
        <v>130517.8125</v>
      </c>
      <c r="AC56" s="1"/>
      <c r="AD56" s="9" t="s">
        <v>109</v>
      </c>
      <c r="AE56" s="1"/>
      <c r="AF56" s="94">
        <f t="shared" si="66"/>
        <v>18645401.79</v>
      </c>
    </row>
    <row r="57" ht="15.75" customHeight="1">
      <c r="A57" s="41"/>
      <c r="B57" s="50" t="s">
        <v>110</v>
      </c>
      <c r="C57" s="32">
        <v>0.05</v>
      </c>
      <c r="D57" s="99">
        <f>D54*C57</f>
        <v>273622.0251</v>
      </c>
      <c r="E57" s="1"/>
      <c r="F57" s="9" t="s">
        <v>87</v>
      </c>
      <c r="G57" s="1"/>
      <c r="H57" s="94">
        <f>H53*H56</f>
        <v>3830708.352</v>
      </c>
      <c r="I57" s="114"/>
      <c r="J57" s="50" t="s">
        <v>110</v>
      </c>
      <c r="K57" s="32">
        <f>C57</f>
        <v>0.05</v>
      </c>
      <c r="L57" s="99">
        <f>L54*K57</f>
        <v>982810.4857</v>
      </c>
      <c r="M57" s="1"/>
      <c r="N57" s="9" t="s">
        <v>87</v>
      </c>
      <c r="O57" s="1"/>
      <c r="P57" s="94">
        <f>P53*P56</f>
        <v>13759346.8</v>
      </c>
      <c r="Q57" s="41"/>
      <c r="R57" s="50" t="s">
        <v>110</v>
      </c>
      <c r="S57" s="32">
        <f>K57</f>
        <v>0.05</v>
      </c>
      <c r="T57" s="99">
        <f>T54*S57</f>
        <v>561297.3996</v>
      </c>
      <c r="U57" s="1"/>
      <c r="V57" s="9" t="s">
        <v>87</v>
      </c>
      <c r="W57" s="1"/>
      <c r="X57" s="94">
        <f>X53*X56</f>
        <v>7858163.595</v>
      </c>
      <c r="Y57" s="41"/>
      <c r="Z57" s="50" t="s">
        <v>110</v>
      </c>
      <c r="AA57" s="32">
        <f>S57</f>
        <v>0.05</v>
      </c>
      <c r="AB57" s="115">
        <f>AB54*AA57</f>
        <v>932270.0896</v>
      </c>
      <c r="AC57" s="1"/>
      <c r="AD57" s="9" t="s">
        <v>87</v>
      </c>
      <c r="AE57" s="1"/>
      <c r="AF57" s="94">
        <f>AF53*AF56</f>
        <v>13051781.25</v>
      </c>
    </row>
    <row r="58" ht="15.75" customHeight="1">
      <c r="A58" s="41"/>
      <c r="B58" s="46" t="s">
        <v>111</v>
      </c>
      <c r="C58" s="92"/>
      <c r="D58" s="116">
        <f>D42-D53</f>
        <v>0</v>
      </c>
      <c r="E58" s="1"/>
      <c r="F58" s="9"/>
      <c r="G58" s="1"/>
      <c r="H58" s="117"/>
      <c r="I58" s="114"/>
      <c r="J58" s="46" t="s">
        <v>111</v>
      </c>
      <c r="K58" s="92"/>
      <c r="L58" s="116">
        <f>L42-L53</f>
        <v>0</v>
      </c>
      <c r="M58" s="1"/>
      <c r="N58" s="9"/>
      <c r="O58" s="1"/>
      <c r="P58" s="117"/>
      <c r="Q58" s="41"/>
      <c r="R58" s="46" t="s">
        <v>111</v>
      </c>
      <c r="S58" s="92"/>
      <c r="T58" s="116">
        <f>T42-T53</f>
        <v>0</v>
      </c>
      <c r="U58" s="1"/>
      <c r="V58" s="9"/>
      <c r="W58" s="1"/>
      <c r="X58" s="117"/>
      <c r="Y58" s="41"/>
      <c r="Z58" s="46" t="s">
        <v>111</v>
      </c>
      <c r="AA58" s="92"/>
      <c r="AB58" s="116">
        <f>AB42-AB53</f>
        <v>0</v>
      </c>
      <c r="AC58" s="1"/>
      <c r="AD58" s="9"/>
      <c r="AE58" s="1"/>
      <c r="AF58" s="117"/>
    </row>
    <row r="59" ht="15.75" customHeight="1">
      <c r="A59" s="41"/>
      <c r="B59" s="50"/>
      <c r="C59" s="1"/>
      <c r="D59" s="1"/>
      <c r="E59" s="1"/>
      <c r="F59" s="112" t="s">
        <v>112</v>
      </c>
      <c r="G59" s="1"/>
      <c r="H59" s="117"/>
      <c r="I59" s="41"/>
      <c r="J59" s="50"/>
      <c r="K59" s="1"/>
      <c r="L59" s="1"/>
      <c r="M59" s="1"/>
      <c r="N59" s="112" t="s">
        <v>112</v>
      </c>
      <c r="O59" s="1"/>
      <c r="P59" s="117"/>
      <c r="Q59" s="41"/>
      <c r="R59" s="50"/>
      <c r="S59" s="1"/>
      <c r="T59" s="1"/>
      <c r="U59" s="1"/>
      <c r="V59" s="112" t="s">
        <v>112</v>
      </c>
      <c r="W59" s="1"/>
      <c r="X59" s="117"/>
      <c r="Y59" s="41"/>
      <c r="Z59" s="50"/>
      <c r="AA59" s="1"/>
      <c r="AB59" s="1"/>
      <c r="AC59" s="1"/>
      <c r="AD59" s="112" t="s">
        <v>112</v>
      </c>
      <c r="AE59" s="1"/>
      <c r="AF59" s="117"/>
    </row>
    <row r="60" ht="15.75" customHeight="1">
      <c r="A60" s="41"/>
      <c r="B60" s="83" t="s">
        <v>113</v>
      </c>
      <c r="C60" s="84"/>
      <c r="D60" s="85"/>
      <c r="E60" s="1"/>
      <c r="F60" s="9" t="s">
        <v>114</v>
      </c>
      <c r="G60" s="1"/>
      <c r="H60" s="117">
        <v>1.25</v>
      </c>
      <c r="I60" s="114"/>
      <c r="J60" s="83" t="s">
        <v>113</v>
      </c>
      <c r="K60" s="84"/>
      <c r="L60" s="84"/>
      <c r="M60" s="1"/>
      <c r="N60" s="9" t="s">
        <v>114</v>
      </c>
      <c r="O60" s="1"/>
      <c r="P60" s="117">
        <f>H60</f>
        <v>1.25</v>
      </c>
      <c r="Q60" s="41"/>
      <c r="R60" s="83" t="s">
        <v>113</v>
      </c>
      <c r="S60" s="84"/>
      <c r="T60" s="84"/>
      <c r="U60" s="1"/>
      <c r="V60" s="9" t="s">
        <v>114</v>
      </c>
      <c r="W60" s="1"/>
      <c r="X60" s="117">
        <f>H60</f>
        <v>1.25</v>
      </c>
      <c r="Y60" s="41"/>
      <c r="Z60" s="83" t="s">
        <v>113</v>
      </c>
      <c r="AA60" s="84"/>
      <c r="AB60" s="84"/>
      <c r="AC60" s="1"/>
      <c r="AD60" s="9" t="s">
        <v>114</v>
      </c>
      <c r="AE60" s="1"/>
      <c r="AF60" s="117">
        <f>H60</f>
        <v>1.25</v>
      </c>
    </row>
    <row r="61" ht="15.75" customHeight="1">
      <c r="A61" s="41"/>
      <c r="B61" s="50" t="s">
        <v>115</v>
      </c>
      <c r="C61" s="1"/>
      <c r="D61" s="118">
        <v>0.06396094045918545</v>
      </c>
      <c r="E61" s="1"/>
      <c r="F61" s="9" t="str">
        <f>F54</f>
        <v>Forward 12-month NOI</v>
      </c>
      <c r="G61" s="1"/>
      <c r="H61" s="94">
        <f>H39</f>
        <v>350022.4412</v>
      </c>
      <c r="I61" s="41"/>
      <c r="J61" s="50" t="s">
        <v>115</v>
      </c>
      <c r="K61" s="1"/>
      <c r="L61" s="118">
        <f>D61</f>
        <v>0.06396094046</v>
      </c>
      <c r="M61" s="1"/>
      <c r="N61" s="9" t="str">
        <f>N54</f>
        <v>Forward 12-month NOI</v>
      </c>
      <c r="O61" s="1"/>
      <c r="P61" s="94">
        <f>P39</f>
        <v>1257229.659</v>
      </c>
      <c r="Q61" s="41"/>
      <c r="R61" s="50" t="s">
        <v>115</v>
      </c>
      <c r="S61" s="1"/>
      <c r="T61" s="118">
        <f>D61</f>
        <v>0.06396094046</v>
      </c>
      <c r="U61" s="1"/>
      <c r="V61" s="9" t="str">
        <f>V54</f>
        <v>Forward 12-month NOI</v>
      </c>
      <c r="W61" s="1"/>
      <c r="X61" s="94">
        <f>X39</f>
        <v>718022.1911</v>
      </c>
      <c r="Y61" s="41"/>
      <c r="Z61" s="50" t="s">
        <v>115</v>
      </c>
      <c r="AA61" s="1"/>
      <c r="AB61" s="118">
        <f>D61</f>
        <v>0.06396094046</v>
      </c>
      <c r="AC61" s="1"/>
      <c r="AD61" s="9" t="str">
        <f>AD54</f>
        <v>Forward 12-month NOI</v>
      </c>
      <c r="AE61" s="1"/>
      <c r="AF61" s="94">
        <f>AF39</f>
        <v>1192577.434</v>
      </c>
    </row>
    <row r="62" ht="15.75" customHeight="1">
      <c r="A62" s="41"/>
      <c r="B62" s="50" t="s">
        <v>116</v>
      </c>
      <c r="C62" s="1"/>
      <c r="D62" s="119">
        <f>H39/D61</f>
        <v>5472440.503</v>
      </c>
      <c r="E62" s="1"/>
      <c r="F62" s="9" t="s">
        <v>117</v>
      </c>
      <c r="G62" s="1"/>
      <c r="H62" s="94">
        <f>H61/H60</f>
        <v>280017.9529</v>
      </c>
      <c r="I62" s="41"/>
      <c r="J62" s="50" t="s">
        <v>116</v>
      </c>
      <c r="K62" s="1"/>
      <c r="L62" s="119">
        <f>P39/L61</f>
        <v>19656209.71</v>
      </c>
      <c r="M62" s="1"/>
      <c r="N62" s="9" t="s">
        <v>117</v>
      </c>
      <c r="O62" s="1"/>
      <c r="P62" s="94">
        <f>P61/P60</f>
        <v>1005783.727</v>
      </c>
      <c r="Q62" s="41"/>
      <c r="R62" s="50" t="s">
        <v>116</v>
      </c>
      <c r="S62" s="1"/>
      <c r="T62" s="119">
        <f>X39/T61</f>
        <v>11225947.99</v>
      </c>
      <c r="U62" s="1"/>
      <c r="V62" s="9" t="s">
        <v>117</v>
      </c>
      <c r="W62" s="1"/>
      <c r="X62" s="94">
        <f>X61/X60</f>
        <v>574417.7529</v>
      </c>
      <c r="Y62" s="41"/>
      <c r="Z62" s="50" t="s">
        <v>116</v>
      </c>
      <c r="AA62" s="1"/>
      <c r="AB62" s="119">
        <f>AF39/AB61</f>
        <v>18645401.79</v>
      </c>
      <c r="AC62" s="1"/>
      <c r="AD62" s="9" t="s">
        <v>117</v>
      </c>
      <c r="AE62" s="1"/>
      <c r="AF62" s="94">
        <f>AF61/AF60</f>
        <v>954061.9471</v>
      </c>
    </row>
    <row r="63" ht="15.75" customHeight="1">
      <c r="A63" s="41"/>
      <c r="B63" s="50" t="s">
        <v>118</v>
      </c>
      <c r="C63" s="1"/>
      <c r="D63" s="118">
        <f>D64-D61</f>
        <v>-0.003960940459</v>
      </c>
      <c r="E63" s="1"/>
      <c r="F63" s="9" t="s">
        <v>87</v>
      </c>
      <c r="G63" s="1"/>
      <c r="H63" s="94">
        <f>PV(H44/12,H45*12,-H62/12)</f>
        <v>4029265.093</v>
      </c>
      <c r="I63" s="41"/>
      <c r="J63" s="50" t="s">
        <v>118</v>
      </c>
      <c r="K63" s="1"/>
      <c r="L63" s="118">
        <f>L64-L61</f>
        <v>-0.003960940459</v>
      </c>
      <c r="M63" s="1"/>
      <c r="N63" s="9" t="s">
        <v>87</v>
      </c>
      <c r="O63" s="1"/>
      <c r="P63" s="94">
        <f>PV(P44/12,P45*12,-P62/12)</f>
        <v>14472533.71</v>
      </c>
      <c r="Q63" s="41"/>
      <c r="R63" s="50" t="s">
        <v>118</v>
      </c>
      <c r="S63" s="1"/>
      <c r="T63" s="118">
        <f>T64-T61</f>
        <v>-0.003960940459</v>
      </c>
      <c r="U63" s="1"/>
      <c r="V63" s="9" t="s">
        <v>87</v>
      </c>
      <c r="W63" s="1"/>
      <c r="X63" s="94">
        <f>PV(X44/12,X45*12,-X62/12)</f>
        <v>8265475.04</v>
      </c>
      <c r="Y63" s="41"/>
      <c r="Z63" s="50" t="s">
        <v>118</v>
      </c>
      <c r="AA63" s="1"/>
      <c r="AB63" s="118">
        <f>AB64-AB61</f>
        <v>-0.003960940459</v>
      </c>
      <c r="AC63" s="1"/>
      <c r="AD63" s="9" t="s">
        <v>87</v>
      </c>
      <c r="AE63" s="1"/>
      <c r="AF63" s="94">
        <f>PV(AF44/12,AF45*12,-AF62/12)</f>
        <v>13728292.99</v>
      </c>
    </row>
    <row r="64" ht="15.75" customHeight="1">
      <c r="A64" s="41"/>
      <c r="B64" s="50" t="s">
        <v>119</v>
      </c>
      <c r="C64" s="1"/>
      <c r="D64" s="118">
        <v>0.06</v>
      </c>
      <c r="E64" s="1"/>
      <c r="F64" s="9"/>
      <c r="G64" s="1"/>
      <c r="H64" s="117"/>
      <c r="I64" s="41"/>
      <c r="J64" s="50" t="s">
        <v>119</v>
      </c>
      <c r="K64" s="1"/>
      <c r="L64" s="118">
        <f t="shared" ref="L64:L67" si="67">D64</f>
        <v>0.06</v>
      </c>
      <c r="M64" s="1"/>
      <c r="N64" s="9"/>
      <c r="O64" s="1"/>
      <c r="P64" s="117"/>
      <c r="Q64" s="41"/>
      <c r="R64" s="50" t="s">
        <v>119</v>
      </c>
      <c r="S64" s="1"/>
      <c r="T64" s="118">
        <f>D64</f>
        <v>0.06</v>
      </c>
      <c r="U64" s="1"/>
      <c r="V64" s="9"/>
      <c r="W64" s="1"/>
      <c r="X64" s="117"/>
      <c r="Y64" s="41"/>
      <c r="Z64" s="50" t="s">
        <v>119</v>
      </c>
      <c r="AA64" s="1"/>
      <c r="AB64" s="118">
        <f>D64</f>
        <v>0.06</v>
      </c>
      <c r="AC64" s="1"/>
      <c r="AD64" s="9"/>
      <c r="AE64" s="1"/>
      <c r="AF64" s="117"/>
    </row>
    <row r="65" ht="15.75" customHeight="1">
      <c r="A65" s="41"/>
      <c r="B65" s="50" t="s">
        <v>120</v>
      </c>
      <c r="C65" s="1"/>
      <c r="D65" s="118">
        <v>0.02</v>
      </c>
      <c r="E65" s="1"/>
      <c r="F65" s="112" t="s">
        <v>121</v>
      </c>
      <c r="G65" s="1"/>
      <c r="H65" s="117"/>
      <c r="I65" s="120"/>
      <c r="J65" s="50" t="s">
        <v>120</v>
      </c>
      <c r="K65" s="1"/>
      <c r="L65" s="118">
        <f t="shared" si="67"/>
        <v>0.02</v>
      </c>
      <c r="M65" s="1"/>
      <c r="N65" s="112" t="s">
        <v>121</v>
      </c>
      <c r="O65" s="1"/>
      <c r="P65" s="117"/>
      <c r="Q65" s="41"/>
      <c r="R65" s="50" t="s">
        <v>120</v>
      </c>
      <c r="S65" s="1"/>
      <c r="T65" s="118">
        <f t="shared" ref="T65:T67" si="68">L65</f>
        <v>0.02</v>
      </c>
      <c r="U65" s="1"/>
      <c r="V65" s="112" t="s">
        <v>121</v>
      </c>
      <c r="W65" s="1"/>
      <c r="X65" s="117"/>
      <c r="Y65" s="41"/>
      <c r="Z65" s="50" t="s">
        <v>120</v>
      </c>
      <c r="AA65" s="1"/>
      <c r="AB65" s="118">
        <f t="shared" ref="AB65:AB67" si="69">T65</f>
        <v>0.02</v>
      </c>
      <c r="AC65" s="1"/>
      <c r="AD65" s="112" t="s">
        <v>121</v>
      </c>
      <c r="AE65" s="1"/>
      <c r="AF65" s="117"/>
    </row>
    <row r="66" ht="15.75" customHeight="1">
      <c r="A66" s="41"/>
      <c r="B66" s="103" t="s">
        <v>122</v>
      </c>
      <c r="C66" s="26"/>
      <c r="D66" s="121">
        <v>0.1</v>
      </c>
      <c r="E66" s="1"/>
      <c r="F66" s="9" t="str">
        <f>F61</f>
        <v>Forward 12-month NOI</v>
      </c>
      <c r="G66" s="1"/>
      <c r="H66" s="94">
        <f>H39</f>
        <v>350022.4412</v>
      </c>
      <c r="I66" s="41"/>
      <c r="J66" s="103" t="s">
        <v>122</v>
      </c>
      <c r="K66" s="26"/>
      <c r="L66" s="121">
        <f t="shared" si="67"/>
        <v>0.1</v>
      </c>
      <c r="M66" s="1"/>
      <c r="N66" s="9" t="str">
        <f>N61</f>
        <v>Forward 12-month NOI</v>
      </c>
      <c r="O66" s="1"/>
      <c r="P66" s="94">
        <f>P39</f>
        <v>1257229.659</v>
      </c>
      <c r="Q66" s="41"/>
      <c r="R66" s="103" t="s">
        <v>122</v>
      </c>
      <c r="S66" s="26"/>
      <c r="T66" s="121">
        <f t="shared" si="68"/>
        <v>0.1</v>
      </c>
      <c r="U66" s="1"/>
      <c r="V66" s="9" t="str">
        <f>V61</f>
        <v>Forward 12-month NOI</v>
      </c>
      <c r="W66" s="1"/>
      <c r="X66" s="94">
        <f>X39</f>
        <v>718022.1911</v>
      </c>
      <c r="Y66" s="41"/>
      <c r="Z66" s="103" t="s">
        <v>122</v>
      </c>
      <c r="AA66" s="26"/>
      <c r="AB66" s="121">
        <f t="shared" si="69"/>
        <v>0.1</v>
      </c>
      <c r="AC66" s="1"/>
      <c r="AD66" s="9" t="str">
        <f>AD61</f>
        <v>Forward 12-month NOI</v>
      </c>
      <c r="AE66" s="1"/>
      <c r="AF66" s="94">
        <f>AF39</f>
        <v>1192577.434</v>
      </c>
    </row>
    <row r="67" ht="15.75" customHeight="1">
      <c r="A67" s="41"/>
      <c r="B67" s="50" t="s">
        <v>123</v>
      </c>
      <c r="C67" s="1"/>
      <c r="D67" s="122">
        <v>0.05</v>
      </c>
      <c r="E67" s="1"/>
      <c r="F67" s="9" t="s">
        <v>124</v>
      </c>
      <c r="G67" s="1"/>
      <c r="H67" s="123">
        <v>0.09</v>
      </c>
      <c r="I67" s="41"/>
      <c r="J67" s="50" t="str">
        <f>B67</f>
        <v>Exit Vacancy</v>
      </c>
      <c r="K67" s="1"/>
      <c r="L67" s="122">
        <f t="shared" si="67"/>
        <v>0.05</v>
      </c>
      <c r="M67" s="1"/>
      <c r="N67" s="9" t="s">
        <v>124</v>
      </c>
      <c r="O67" s="1"/>
      <c r="P67" s="123">
        <f>H67</f>
        <v>0.09</v>
      </c>
      <c r="Q67" s="41"/>
      <c r="R67" s="50" t="str">
        <f>J67</f>
        <v>Exit Vacancy</v>
      </c>
      <c r="S67" s="1"/>
      <c r="T67" s="122">
        <f t="shared" si="68"/>
        <v>0.05</v>
      </c>
      <c r="U67" s="1"/>
      <c r="V67" s="9" t="s">
        <v>124</v>
      </c>
      <c r="W67" s="1"/>
      <c r="X67" s="123">
        <f>H67</f>
        <v>0.09</v>
      </c>
      <c r="Y67" s="41"/>
      <c r="Z67" s="50" t="str">
        <f>R67</f>
        <v>Exit Vacancy</v>
      </c>
      <c r="AA67" s="1"/>
      <c r="AB67" s="122">
        <f t="shared" si="69"/>
        <v>0.05</v>
      </c>
      <c r="AC67" s="1"/>
      <c r="AD67" s="9" t="s">
        <v>124</v>
      </c>
      <c r="AE67" s="1"/>
      <c r="AF67" s="123">
        <f>H67</f>
        <v>0.09</v>
      </c>
    </row>
    <row r="68" ht="15.75" customHeight="1">
      <c r="A68" s="41"/>
      <c r="B68" s="46" t="s">
        <v>125</v>
      </c>
      <c r="C68" s="47"/>
      <c r="D68" s="93">
        <v>10.0</v>
      </c>
      <c r="E68" s="1"/>
      <c r="F68" s="25" t="s">
        <v>87</v>
      </c>
      <c r="G68" s="26"/>
      <c r="H68" s="124">
        <f>H66/H67</f>
        <v>3889138.235</v>
      </c>
      <c r="I68" s="41"/>
      <c r="J68" s="46" t="s">
        <v>125</v>
      </c>
      <c r="K68" s="47"/>
      <c r="L68" s="93">
        <v>10.0</v>
      </c>
      <c r="M68" s="1"/>
      <c r="N68" s="25" t="s">
        <v>87</v>
      </c>
      <c r="O68" s="26"/>
      <c r="P68" s="124">
        <f>P66/P67</f>
        <v>13969218.43</v>
      </c>
      <c r="Q68" s="41"/>
      <c r="R68" s="46" t="s">
        <v>125</v>
      </c>
      <c r="S68" s="47"/>
      <c r="T68" s="93">
        <v>10.0</v>
      </c>
      <c r="U68" s="1"/>
      <c r="V68" s="25" t="s">
        <v>87</v>
      </c>
      <c r="W68" s="26"/>
      <c r="X68" s="124">
        <f>X66/X67</f>
        <v>7978024.346</v>
      </c>
      <c r="Y68" s="41"/>
      <c r="Z68" s="46" t="s">
        <v>125</v>
      </c>
      <c r="AA68" s="47"/>
      <c r="AB68" s="93">
        <v>10.0</v>
      </c>
      <c r="AC68" s="1"/>
      <c r="AD68" s="25" t="s">
        <v>87</v>
      </c>
      <c r="AE68" s="26"/>
      <c r="AF68" s="124">
        <f>AF66/AF67</f>
        <v>13250860.38</v>
      </c>
    </row>
    <row r="69" ht="15.75" customHeight="1">
      <c r="A69" s="41"/>
      <c r="B69" s="50"/>
      <c r="C69" s="1"/>
      <c r="D69" s="1"/>
      <c r="E69" s="1"/>
      <c r="F69" s="1"/>
      <c r="G69" s="1"/>
      <c r="H69" s="82"/>
      <c r="I69" s="41"/>
      <c r="J69" s="50"/>
      <c r="K69" s="1"/>
      <c r="L69" s="1"/>
      <c r="M69" s="1"/>
      <c r="N69" s="1"/>
      <c r="O69" s="1"/>
      <c r="P69" s="82"/>
      <c r="Q69" s="41"/>
      <c r="R69" s="50"/>
      <c r="S69" s="1"/>
      <c r="T69" s="1"/>
      <c r="U69" s="1"/>
      <c r="V69" s="1"/>
      <c r="W69" s="1"/>
      <c r="X69" s="82"/>
      <c r="Y69" s="41"/>
      <c r="Z69" s="50"/>
      <c r="AA69" s="1"/>
      <c r="AB69" s="1"/>
      <c r="AC69" s="1"/>
      <c r="AD69" s="1"/>
      <c r="AE69" s="1"/>
      <c r="AF69" s="82"/>
    </row>
    <row r="70" ht="15.75" customHeight="1">
      <c r="A70" s="41"/>
      <c r="B70" s="83" t="s">
        <v>126</v>
      </c>
      <c r="C70" s="84"/>
      <c r="D70" s="85"/>
      <c r="E70" s="85"/>
      <c r="F70" s="85"/>
      <c r="G70" s="85"/>
      <c r="H70" s="125"/>
      <c r="I70" s="41"/>
      <c r="J70" s="83" t="s">
        <v>126</v>
      </c>
      <c r="K70" s="84"/>
      <c r="L70" s="84"/>
      <c r="M70" s="84"/>
      <c r="N70" s="84"/>
      <c r="O70" s="84"/>
      <c r="P70" s="126"/>
      <c r="Q70" s="114"/>
      <c r="R70" s="83" t="s">
        <v>126</v>
      </c>
      <c r="S70" s="84"/>
      <c r="T70" s="84"/>
      <c r="U70" s="84"/>
      <c r="V70" s="84"/>
      <c r="W70" s="84"/>
      <c r="X70" s="126"/>
      <c r="Y70" s="41"/>
      <c r="Z70" s="83" t="s">
        <v>126</v>
      </c>
      <c r="AA70" s="84"/>
      <c r="AB70" s="84"/>
      <c r="AC70" s="84"/>
      <c r="AD70" s="84"/>
      <c r="AE70" s="84"/>
      <c r="AF70" s="126"/>
    </row>
    <row r="71" ht="15.75" customHeight="1">
      <c r="A71" s="41"/>
      <c r="B71" s="50"/>
      <c r="C71" s="1"/>
      <c r="D71" s="1"/>
      <c r="E71" s="127" t="s">
        <v>127</v>
      </c>
      <c r="F71" s="127" t="s">
        <v>128</v>
      </c>
      <c r="G71" s="127" t="s">
        <v>129</v>
      </c>
      <c r="H71" s="128" t="s">
        <v>97</v>
      </c>
      <c r="I71" s="41"/>
      <c r="J71" s="50"/>
      <c r="K71" s="1"/>
      <c r="L71" s="1"/>
      <c r="M71" s="127" t="s">
        <v>127</v>
      </c>
      <c r="N71" s="127" t="s">
        <v>128</v>
      </c>
      <c r="O71" s="127" t="s">
        <v>129</v>
      </c>
      <c r="P71" s="128" t="s">
        <v>97</v>
      </c>
      <c r="Q71" s="114"/>
      <c r="R71" s="50"/>
      <c r="S71" s="1"/>
      <c r="T71" s="1"/>
      <c r="U71" s="127" t="s">
        <v>127</v>
      </c>
      <c r="V71" s="127" t="s">
        <v>128</v>
      </c>
      <c r="W71" s="127" t="s">
        <v>129</v>
      </c>
      <c r="X71" s="128" t="s">
        <v>97</v>
      </c>
      <c r="Y71" s="41"/>
      <c r="Z71" s="50"/>
      <c r="AA71" s="1"/>
      <c r="AB71" s="1"/>
      <c r="AC71" s="127" t="s">
        <v>127</v>
      </c>
      <c r="AD71" s="127" t="s">
        <v>128</v>
      </c>
      <c r="AE71" s="127" t="s">
        <v>129</v>
      </c>
      <c r="AF71" s="128" t="s">
        <v>97</v>
      </c>
    </row>
    <row r="72" ht="15.75" customHeight="1">
      <c r="A72" s="41"/>
      <c r="B72" s="50" t="s">
        <v>130</v>
      </c>
      <c r="C72" s="1"/>
      <c r="D72" s="1"/>
      <c r="E72" s="59">
        <v>0.1</v>
      </c>
      <c r="F72" s="59">
        <v>0.1</v>
      </c>
      <c r="G72" s="59">
        <v>0.1</v>
      </c>
      <c r="H72" s="129">
        <f t="shared" ref="H72:H75" si="73">1-(F72*$C$45+G72*$C$46)</f>
        <v>0.9</v>
      </c>
      <c r="I72" s="41"/>
      <c r="J72" s="50" t="s">
        <v>130</v>
      </c>
      <c r="K72" s="1"/>
      <c r="L72" s="1"/>
      <c r="M72" s="59">
        <f t="shared" ref="M72:O72" si="70">E72</f>
        <v>0.1</v>
      </c>
      <c r="N72" s="59">
        <f t="shared" si="70"/>
        <v>0.1</v>
      </c>
      <c r="O72" s="59">
        <f t="shared" si="70"/>
        <v>0.1</v>
      </c>
      <c r="P72" s="129">
        <f t="shared" ref="P72:P75" si="75">1-(N72*$K$45+O72*$K$46)</f>
        <v>0.9</v>
      </c>
      <c r="Q72" s="114"/>
      <c r="R72" s="50" t="s">
        <v>130</v>
      </c>
      <c r="S72" s="1"/>
      <c r="T72" s="1"/>
      <c r="U72" s="59">
        <f t="shared" ref="U72:W72" si="71">M72</f>
        <v>0.1</v>
      </c>
      <c r="V72" s="59">
        <f t="shared" si="71"/>
        <v>0.1</v>
      </c>
      <c r="W72" s="59">
        <f t="shared" si="71"/>
        <v>0.1</v>
      </c>
      <c r="X72" s="129">
        <f t="shared" ref="X72:X75" si="77">1-(V72*$S$45+W72*$S$46)</f>
        <v>0.9</v>
      </c>
      <c r="Y72" s="41"/>
      <c r="Z72" s="50" t="s">
        <v>130</v>
      </c>
      <c r="AA72" s="1"/>
      <c r="AB72" s="1"/>
      <c r="AC72" s="59">
        <f t="shared" ref="AC72:AE72" si="72">U72</f>
        <v>0.1</v>
      </c>
      <c r="AD72" s="59">
        <f t="shared" si="72"/>
        <v>0.1</v>
      </c>
      <c r="AE72" s="59">
        <f t="shared" si="72"/>
        <v>0.1</v>
      </c>
      <c r="AF72" s="129">
        <f t="shared" ref="AF72:AF75" si="79">1-(AD72*$AA$45+AE72*$AA$46)</f>
        <v>0.9</v>
      </c>
    </row>
    <row r="73" ht="15.75" customHeight="1">
      <c r="A73" s="41"/>
      <c r="B73" s="50" t="s">
        <v>131</v>
      </c>
      <c r="C73" s="1"/>
      <c r="D73" s="1"/>
      <c r="E73" s="59">
        <v>0.12</v>
      </c>
      <c r="F73" s="59">
        <v>0.1</v>
      </c>
      <c r="G73" s="59">
        <v>0.1</v>
      </c>
      <c r="H73" s="129">
        <f t="shared" si="73"/>
        <v>0.9</v>
      </c>
      <c r="I73" s="41"/>
      <c r="J73" s="50" t="s">
        <v>131</v>
      </c>
      <c r="K73" s="1"/>
      <c r="L73" s="1"/>
      <c r="M73" s="59">
        <f t="shared" ref="M73:O73" si="74">E73</f>
        <v>0.12</v>
      </c>
      <c r="N73" s="59">
        <f t="shared" si="74"/>
        <v>0.1</v>
      </c>
      <c r="O73" s="59">
        <f t="shared" si="74"/>
        <v>0.1</v>
      </c>
      <c r="P73" s="129">
        <f t="shared" si="75"/>
        <v>0.9</v>
      </c>
      <c r="Q73" s="114"/>
      <c r="R73" s="50" t="s">
        <v>131</v>
      </c>
      <c r="S73" s="1"/>
      <c r="T73" s="1"/>
      <c r="U73" s="59">
        <f t="shared" ref="U73:W73" si="76">M73</f>
        <v>0.12</v>
      </c>
      <c r="V73" s="59">
        <f t="shared" si="76"/>
        <v>0.1</v>
      </c>
      <c r="W73" s="59">
        <f t="shared" si="76"/>
        <v>0.1</v>
      </c>
      <c r="X73" s="129">
        <f t="shared" si="77"/>
        <v>0.9</v>
      </c>
      <c r="Y73" s="41"/>
      <c r="Z73" s="50" t="s">
        <v>131</v>
      </c>
      <c r="AA73" s="1"/>
      <c r="AB73" s="1"/>
      <c r="AC73" s="59">
        <f t="shared" ref="AC73:AE73" si="78">U73</f>
        <v>0.12</v>
      </c>
      <c r="AD73" s="59">
        <f t="shared" si="78"/>
        <v>0.1</v>
      </c>
      <c r="AE73" s="59">
        <f t="shared" si="78"/>
        <v>0.1</v>
      </c>
      <c r="AF73" s="129">
        <f t="shared" si="79"/>
        <v>0.9</v>
      </c>
    </row>
    <row r="74" ht="15.75" customHeight="1">
      <c r="A74" s="41"/>
      <c r="B74" s="50" t="s">
        <v>132</v>
      </c>
      <c r="C74" s="1"/>
      <c r="D74" s="1"/>
      <c r="E74" s="59">
        <v>0.14</v>
      </c>
      <c r="F74" s="59">
        <v>0.2</v>
      </c>
      <c r="G74" s="59">
        <v>0.2</v>
      </c>
      <c r="H74" s="129">
        <f t="shared" si="73"/>
        <v>0.8</v>
      </c>
      <c r="I74" s="41"/>
      <c r="J74" s="50" t="s">
        <v>132</v>
      </c>
      <c r="K74" s="1"/>
      <c r="L74" s="1"/>
      <c r="M74" s="59">
        <f t="shared" ref="M74:O74" si="80">E74</f>
        <v>0.14</v>
      </c>
      <c r="N74" s="59">
        <f t="shared" si="80"/>
        <v>0.2</v>
      </c>
      <c r="O74" s="59">
        <f t="shared" si="80"/>
        <v>0.2</v>
      </c>
      <c r="P74" s="129">
        <f t="shared" si="75"/>
        <v>0.8</v>
      </c>
      <c r="Q74" s="114"/>
      <c r="R74" s="50" t="s">
        <v>132</v>
      </c>
      <c r="S74" s="1"/>
      <c r="T74" s="1"/>
      <c r="U74" s="59">
        <f t="shared" ref="U74:W74" si="81">M74</f>
        <v>0.14</v>
      </c>
      <c r="V74" s="59">
        <f t="shared" si="81"/>
        <v>0.2</v>
      </c>
      <c r="W74" s="59">
        <f t="shared" si="81"/>
        <v>0.2</v>
      </c>
      <c r="X74" s="129">
        <f t="shared" si="77"/>
        <v>0.8</v>
      </c>
      <c r="Y74" s="41"/>
      <c r="Z74" s="50" t="s">
        <v>132</v>
      </c>
      <c r="AA74" s="1"/>
      <c r="AB74" s="1"/>
      <c r="AC74" s="59">
        <f t="shared" ref="AC74:AE74" si="82">U74</f>
        <v>0.14</v>
      </c>
      <c r="AD74" s="59">
        <f t="shared" si="82"/>
        <v>0.2</v>
      </c>
      <c r="AE74" s="59">
        <f t="shared" si="82"/>
        <v>0.2</v>
      </c>
      <c r="AF74" s="129">
        <f t="shared" si="79"/>
        <v>0.8</v>
      </c>
    </row>
    <row r="75" ht="15.75" customHeight="1">
      <c r="A75" s="41"/>
      <c r="B75" s="103" t="s">
        <v>133</v>
      </c>
      <c r="C75" s="26"/>
      <c r="D75" s="26"/>
      <c r="E75" s="26"/>
      <c r="F75" s="104">
        <v>0.35</v>
      </c>
      <c r="G75" s="104">
        <v>0.35</v>
      </c>
      <c r="H75" s="130">
        <f t="shared" si="73"/>
        <v>0.65</v>
      </c>
      <c r="I75" s="41"/>
      <c r="J75" s="103" t="s">
        <v>133</v>
      </c>
      <c r="K75" s="26"/>
      <c r="L75" s="26"/>
      <c r="M75" s="26"/>
      <c r="N75" s="104">
        <f t="shared" ref="N75:O75" si="83">F75</f>
        <v>0.35</v>
      </c>
      <c r="O75" s="104">
        <f t="shared" si="83"/>
        <v>0.35</v>
      </c>
      <c r="P75" s="130">
        <f t="shared" si="75"/>
        <v>0.65</v>
      </c>
      <c r="Q75" s="131"/>
      <c r="R75" s="103" t="s">
        <v>133</v>
      </c>
      <c r="S75" s="26"/>
      <c r="T75" s="26"/>
      <c r="U75" s="26"/>
      <c r="V75" s="104">
        <f t="shared" ref="V75:W75" si="84">N75</f>
        <v>0.35</v>
      </c>
      <c r="W75" s="104">
        <f t="shared" si="84"/>
        <v>0.35</v>
      </c>
      <c r="X75" s="130">
        <f t="shared" si="77"/>
        <v>0.65</v>
      </c>
      <c r="Y75" s="41"/>
      <c r="Z75" s="103" t="s">
        <v>133</v>
      </c>
      <c r="AA75" s="26"/>
      <c r="AB75" s="26"/>
      <c r="AC75" s="26"/>
      <c r="AD75" s="104">
        <f t="shared" ref="AD75:AE75" si="85">V75</f>
        <v>0.35</v>
      </c>
      <c r="AE75" s="104">
        <f t="shared" si="85"/>
        <v>0.35</v>
      </c>
      <c r="AF75" s="130">
        <f t="shared" si="79"/>
        <v>0.65</v>
      </c>
    </row>
    <row r="76" ht="15.75" customHeight="1">
      <c r="A76" s="41"/>
      <c r="B76" s="50"/>
      <c r="C76" s="1"/>
      <c r="D76" s="1"/>
      <c r="E76" s="1"/>
      <c r="F76" s="1"/>
      <c r="G76" s="1"/>
      <c r="H76" s="82"/>
      <c r="I76" s="41"/>
      <c r="J76" s="50"/>
      <c r="K76" s="1"/>
      <c r="L76" s="1"/>
      <c r="M76" s="1"/>
      <c r="N76" s="1"/>
      <c r="O76" s="1"/>
      <c r="P76" s="82"/>
      <c r="Q76" s="41"/>
      <c r="R76" s="50"/>
      <c r="S76" s="1"/>
      <c r="T76" s="1"/>
      <c r="U76" s="1"/>
      <c r="V76" s="1"/>
      <c r="W76" s="1"/>
      <c r="X76" s="82"/>
      <c r="Y76" s="41"/>
      <c r="Z76" s="50"/>
      <c r="AA76" s="1"/>
      <c r="AB76" s="1"/>
      <c r="AC76" s="1"/>
      <c r="AD76" s="1"/>
      <c r="AE76" s="1"/>
      <c r="AF76" s="82"/>
    </row>
    <row r="77" ht="15.75" customHeight="1">
      <c r="A77" s="41"/>
      <c r="B77" s="50"/>
      <c r="C77" s="1"/>
      <c r="D77" s="1"/>
      <c r="E77" s="1"/>
      <c r="F77" s="1"/>
      <c r="G77" s="1"/>
      <c r="H77" s="82"/>
      <c r="I77" s="41"/>
      <c r="J77" s="50"/>
      <c r="K77" s="1"/>
      <c r="L77" s="1"/>
      <c r="M77" s="1"/>
      <c r="N77" s="1"/>
      <c r="O77" s="132"/>
      <c r="P77" s="133"/>
      <c r="Q77" s="131"/>
      <c r="R77" s="50"/>
      <c r="S77" s="1"/>
      <c r="T77" s="1"/>
      <c r="U77" s="1"/>
      <c r="V77" s="1"/>
      <c r="W77" s="1"/>
      <c r="X77" s="82"/>
      <c r="Y77" s="41"/>
      <c r="Z77" s="50"/>
      <c r="AA77" s="1"/>
      <c r="AB77" s="1"/>
      <c r="AC77" s="1"/>
      <c r="AD77" s="1"/>
      <c r="AE77" s="1"/>
      <c r="AF77" s="82"/>
    </row>
    <row r="78" ht="15.75" customHeight="1">
      <c r="A78" s="41"/>
      <c r="B78" s="83" t="s">
        <v>134</v>
      </c>
      <c r="C78" s="84"/>
      <c r="D78" s="84"/>
      <c r="E78" s="84"/>
      <c r="F78" s="1"/>
      <c r="G78" s="1"/>
      <c r="H78" s="82"/>
      <c r="I78" s="41"/>
      <c r="J78" s="83" t="s">
        <v>134</v>
      </c>
      <c r="K78" s="84"/>
      <c r="L78" s="84"/>
      <c r="M78" s="84"/>
      <c r="N78" s="132"/>
      <c r="O78" s="1"/>
      <c r="P78" s="98"/>
      <c r="Q78" s="134"/>
      <c r="R78" s="83" t="s">
        <v>134</v>
      </c>
      <c r="S78" s="84"/>
      <c r="T78" s="84"/>
      <c r="U78" s="84"/>
      <c r="V78" s="1"/>
      <c r="W78" s="1"/>
      <c r="X78" s="82"/>
      <c r="Y78" s="41"/>
      <c r="Z78" s="83" t="s">
        <v>134</v>
      </c>
      <c r="AA78" s="84"/>
      <c r="AB78" s="84"/>
      <c r="AC78" s="84"/>
      <c r="AD78" s="1"/>
      <c r="AE78" s="1"/>
      <c r="AF78" s="82"/>
    </row>
    <row r="79" ht="15.75" customHeight="1">
      <c r="A79" s="41"/>
      <c r="B79" s="50" t="s">
        <v>99</v>
      </c>
      <c r="C79" s="1"/>
      <c r="D79" s="1"/>
      <c r="E79" s="135">
        <f>D51</f>
        <v>3830708.352</v>
      </c>
      <c r="F79" s="1"/>
      <c r="G79" s="1"/>
      <c r="H79" s="82"/>
      <c r="I79" s="41"/>
      <c r="J79" s="50" t="s">
        <v>99</v>
      </c>
      <c r="K79" s="1"/>
      <c r="L79" s="1"/>
      <c r="M79" s="135">
        <f>L51</f>
        <v>13759346.8</v>
      </c>
      <c r="N79" s="1"/>
      <c r="O79" s="1"/>
      <c r="P79" s="133"/>
      <c r="Q79" s="131"/>
      <c r="R79" s="50" t="s">
        <v>99</v>
      </c>
      <c r="S79" s="1"/>
      <c r="T79" s="1"/>
      <c r="U79" s="135">
        <f>T51</f>
        <v>7858163.595</v>
      </c>
      <c r="V79" s="1"/>
      <c r="W79" s="1"/>
      <c r="X79" s="82"/>
      <c r="Y79" s="41"/>
      <c r="Z79" s="50" t="s">
        <v>99</v>
      </c>
      <c r="AA79" s="1"/>
      <c r="AB79" s="1"/>
      <c r="AC79" s="99">
        <f>AB51</f>
        <v>13051781.25</v>
      </c>
      <c r="AD79" s="1"/>
      <c r="AE79" s="1"/>
      <c r="AF79" s="82"/>
    </row>
    <row r="80" ht="15.75" customHeight="1">
      <c r="A80" s="41"/>
      <c r="B80" s="50" t="s">
        <v>128</v>
      </c>
      <c r="C80" s="1"/>
      <c r="D80" s="1"/>
      <c r="E80" s="135">
        <f t="shared" ref="E80:E81" si="86">D45</f>
        <v>40167.71329</v>
      </c>
      <c r="F80" s="1"/>
      <c r="G80" s="1"/>
      <c r="H80" s="82"/>
      <c r="I80" s="41"/>
      <c r="J80" s="50" t="s">
        <v>128</v>
      </c>
      <c r="K80" s="1"/>
      <c r="L80" s="1"/>
      <c r="M80" s="135">
        <f t="shared" ref="M80:M81" si="87">L45</f>
        <v>144276.5793</v>
      </c>
      <c r="N80" s="1"/>
      <c r="O80" s="1"/>
      <c r="P80" s="82"/>
      <c r="Q80" s="41"/>
      <c r="R80" s="50" t="s">
        <v>128</v>
      </c>
      <c r="S80" s="1"/>
      <c r="T80" s="1"/>
      <c r="U80" s="135">
        <f t="shared" ref="U80:U81" si="88">T45</f>
        <v>82398.45827</v>
      </c>
      <c r="V80" s="1"/>
      <c r="W80" s="1"/>
      <c r="X80" s="82"/>
      <c r="Y80" s="41"/>
      <c r="Z80" s="50" t="s">
        <v>128</v>
      </c>
      <c r="AA80" s="1"/>
      <c r="AB80" s="1"/>
      <c r="AC80" s="99">
        <f t="shared" ref="AC80:AC81" si="89">AB45</f>
        <v>136857.2492</v>
      </c>
      <c r="AD80" s="1"/>
      <c r="AE80" s="1"/>
      <c r="AF80" s="82"/>
    </row>
    <row r="81" ht="15.75" customHeight="1">
      <c r="A81" s="41"/>
      <c r="B81" s="50" t="s">
        <v>129</v>
      </c>
      <c r="C81" s="1"/>
      <c r="D81" s="1"/>
      <c r="E81" s="135">
        <f t="shared" si="86"/>
        <v>160670.8532</v>
      </c>
      <c r="F81" s="1"/>
      <c r="G81" s="1"/>
      <c r="H81" s="82"/>
      <c r="I81" s="41"/>
      <c r="J81" s="50" t="s">
        <v>129</v>
      </c>
      <c r="K81" s="1"/>
      <c r="L81" s="1"/>
      <c r="M81" s="135">
        <f t="shared" si="87"/>
        <v>577106.3172</v>
      </c>
      <c r="N81" s="1"/>
      <c r="O81" s="1"/>
      <c r="P81" s="133"/>
      <c r="Q81" s="131"/>
      <c r="R81" s="50" t="s">
        <v>129</v>
      </c>
      <c r="S81" s="1"/>
      <c r="T81" s="1"/>
      <c r="U81" s="135">
        <f t="shared" si="88"/>
        <v>329593.8331</v>
      </c>
      <c r="V81" s="1"/>
      <c r="W81" s="1"/>
      <c r="X81" s="82"/>
      <c r="Y81" s="41"/>
      <c r="Z81" s="50" t="s">
        <v>129</v>
      </c>
      <c r="AA81" s="1"/>
      <c r="AB81" s="1"/>
      <c r="AC81" s="99">
        <f t="shared" si="89"/>
        <v>547428.9966</v>
      </c>
      <c r="AD81" s="1"/>
      <c r="AE81" s="1"/>
      <c r="AF81" s="82"/>
    </row>
    <row r="82" ht="15.75" customHeight="1">
      <c r="A82" s="41"/>
      <c r="B82" s="103" t="s">
        <v>97</v>
      </c>
      <c r="C82" s="26"/>
      <c r="D82" s="26"/>
      <c r="E82" s="136">
        <f>D48</f>
        <v>1807547.098</v>
      </c>
      <c r="F82" s="1"/>
      <c r="G82" s="1"/>
      <c r="H82" s="82"/>
      <c r="I82" s="41"/>
      <c r="J82" s="103" t="s">
        <v>97</v>
      </c>
      <c r="K82" s="26"/>
      <c r="L82" s="26"/>
      <c r="M82" s="136">
        <f>L48</f>
        <v>6492446.068</v>
      </c>
      <c r="N82" s="1"/>
      <c r="O82" s="1"/>
      <c r="P82" s="82"/>
      <c r="Q82" s="41"/>
      <c r="R82" s="103" t="s">
        <v>97</v>
      </c>
      <c r="S82" s="26"/>
      <c r="T82" s="26"/>
      <c r="U82" s="136">
        <f>T48</f>
        <v>3707930.622</v>
      </c>
      <c r="V82" s="1"/>
      <c r="W82" s="1"/>
      <c r="X82" s="82"/>
      <c r="Y82" s="41"/>
      <c r="Z82" s="103" t="s">
        <v>97</v>
      </c>
      <c r="AA82" s="26"/>
      <c r="AB82" s="26"/>
      <c r="AC82" s="105">
        <f>AB48</f>
        <v>6158576.212</v>
      </c>
      <c r="AD82" s="1"/>
      <c r="AE82" s="1"/>
      <c r="AF82" s="82"/>
    </row>
    <row r="83" ht="15.75" customHeight="1">
      <c r="A83" s="41"/>
      <c r="B83" s="50"/>
      <c r="C83" s="1"/>
      <c r="D83" s="1"/>
      <c r="E83" s="1"/>
      <c r="F83" s="1"/>
      <c r="G83" s="1"/>
      <c r="H83" s="82"/>
      <c r="I83" s="41"/>
      <c r="J83" s="50"/>
      <c r="K83" s="1"/>
      <c r="L83" s="1"/>
      <c r="M83" s="1"/>
      <c r="N83" s="1"/>
      <c r="O83" s="132"/>
      <c r="P83" s="133"/>
      <c r="Q83" s="131"/>
      <c r="R83" s="50"/>
      <c r="S83" s="1"/>
      <c r="T83" s="1"/>
      <c r="U83" s="1"/>
      <c r="V83" s="1"/>
      <c r="W83" s="1"/>
      <c r="X83" s="82"/>
      <c r="Y83" s="41"/>
      <c r="Z83" s="50"/>
      <c r="AA83" s="1"/>
      <c r="AB83" s="1"/>
      <c r="AC83" s="1"/>
      <c r="AD83" s="1"/>
      <c r="AE83" s="1"/>
      <c r="AF83" s="82"/>
    </row>
    <row r="84" ht="15.75" customHeight="1">
      <c r="A84" s="41"/>
      <c r="B84" s="50"/>
      <c r="C84" s="1"/>
      <c r="D84" s="1"/>
      <c r="E84" s="1"/>
      <c r="F84" s="1"/>
      <c r="G84" s="1"/>
      <c r="H84" s="82"/>
      <c r="I84" s="41"/>
      <c r="J84" s="50"/>
      <c r="K84" s="1"/>
      <c r="L84" s="1"/>
      <c r="M84" s="1"/>
      <c r="N84" s="132"/>
      <c r="O84" s="132"/>
      <c r="P84" s="133"/>
      <c r="Q84" s="131"/>
      <c r="R84" s="50"/>
      <c r="S84" s="1"/>
      <c r="T84" s="1"/>
      <c r="U84" s="1"/>
      <c r="V84" s="1"/>
      <c r="W84" s="1"/>
      <c r="X84" s="82"/>
      <c r="Y84" s="41"/>
      <c r="Z84" s="50"/>
      <c r="AA84" s="1"/>
      <c r="AB84" s="1"/>
      <c r="AC84" s="1"/>
      <c r="AD84" s="1"/>
      <c r="AE84" s="1"/>
      <c r="AF84" s="82"/>
    </row>
    <row r="85" ht="15.75" customHeight="1">
      <c r="A85" s="41"/>
      <c r="B85" s="50"/>
      <c r="C85" s="1"/>
      <c r="D85" s="1"/>
      <c r="E85" s="1"/>
      <c r="F85" s="1"/>
      <c r="G85" s="1"/>
      <c r="H85" s="82"/>
      <c r="I85" s="41"/>
      <c r="J85" s="50"/>
      <c r="K85" s="1"/>
      <c r="L85" s="1"/>
      <c r="M85" s="1"/>
      <c r="N85" s="132"/>
      <c r="O85" s="132"/>
      <c r="P85" s="133"/>
      <c r="Q85" s="131"/>
      <c r="R85" s="50"/>
      <c r="S85" s="1"/>
      <c r="T85" s="1"/>
      <c r="U85" s="1"/>
      <c r="V85" s="1"/>
      <c r="W85" s="1"/>
      <c r="X85" s="82"/>
      <c r="Y85" s="41"/>
      <c r="Z85" s="50"/>
      <c r="AA85" s="1"/>
      <c r="AB85" s="1"/>
      <c r="AC85" s="1"/>
      <c r="AD85" s="1"/>
      <c r="AE85" s="1"/>
      <c r="AF85" s="82"/>
    </row>
    <row r="86" ht="15.75" customHeight="1">
      <c r="A86" s="41"/>
      <c r="B86" s="50"/>
      <c r="C86" s="1"/>
      <c r="D86" s="1"/>
      <c r="E86" s="1"/>
      <c r="F86" s="1"/>
      <c r="G86" s="1"/>
      <c r="H86" s="82"/>
      <c r="I86" s="41"/>
      <c r="J86" s="50"/>
      <c r="K86" s="1"/>
      <c r="L86" s="1"/>
      <c r="M86" s="1"/>
      <c r="N86" s="132"/>
      <c r="O86" s="1"/>
      <c r="P86" s="82"/>
      <c r="Q86" s="41"/>
      <c r="R86" s="50"/>
      <c r="S86" s="1"/>
      <c r="T86" s="1"/>
      <c r="U86" s="1"/>
      <c r="V86" s="1"/>
      <c r="W86" s="1"/>
      <c r="X86" s="82"/>
      <c r="Y86" s="41"/>
      <c r="Z86" s="50"/>
      <c r="AA86" s="1"/>
      <c r="AB86" s="1"/>
      <c r="AC86" s="1"/>
      <c r="AD86" s="1"/>
      <c r="AE86" s="1"/>
      <c r="AF86" s="82"/>
    </row>
    <row r="87" ht="15.75" customHeight="1">
      <c r="A87" s="41"/>
      <c r="B87" s="50"/>
      <c r="C87" s="1"/>
      <c r="D87" s="1"/>
      <c r="E87" s="1"/>
      <c r="F87" s="1"/>
      <c r="G87" s="1"/>
      <c r="H87" s="82"/>
      <c r="I87" s="41"/>
      <c r="J87" s="50"/>
      <c r="K87" s="1"/>
      <c r="L87" s="1"/>
      <c r="M87" s="1"/>
      <c r="N87" s="1"/>
      <c r="O87" s="32"/>
      <c r="P87" s="98"/>
      <c r="Q87" s="134"/>
      <c r="R87" s="50"/>
      <c r="S87" s="1"/>
      <c r="T87" s="1"/>
      <c r="U87" s="1"/>
      <c r="V87" s="1"/>
      <c r="W87" s="1"/>
      <c r="X87" s="82"/>
      <c r="Y87" s="41"/>
      <c r="Z87" s="50"/>
      <c r="AA87" s="1"/>
      <c r="AB87" s="1"/>
      <c r="AC87" s="1"/>
      <c r="AD87" s="1"/>
      <c r="AE87" s="1"/>
      <c r="AF87" s="82"/>
    </row>
    <row r="88" ht="15.75" customHeight="1">
      <c r="A88" s="41"/>
      <c r="B88" s="50"/>
      <c r="C88" s="1"/>
      <c r="D88" s="1"/>
      <c r="E88" s="1"/>
      <c r="F88" s="1"/>
      <c r="G88" s="1"/>
      <c r="H88" s="82"/>
      <c r="I88" s="41"/>
      <c r="J88" s="50"/>
      <c r="K88" s="1"/>
      <c r="L88" s="1"/>
      <c r="M88" s="1"/>
      <c r="N88" s="32"/>
      <c r="O88" s="1"/>
      <c r="P88" s="82"/>
      <c r="Q88" s="41"/>
      <c r="R88" s="50"/>
      <c r="S88" s="1"/>
      <c r="T88" s="1"/>
      <c r="U88" s="1"/>
      <c r="V88" s="1"/>
      <c r="W88" s="1"/>
      <c r="X88" s="82"/>
      <c r="Y88" s="41"/>
      <c r="Z88" s="50"/>
      <c r="AA88" s="1"/>
      <c r="AB88" s="1"/>
      <c r="AC88" s="1"/>
      <c r="AD88" s="1"/>
      <c r="AE88" s="1"/>
      <c r="AF88" s="82"/>
    </row>
    <row r="89" ht="15.75" customHeight="1">
      <c r="A89" s="41"/>
      <c r="B89" s="50"/>
      <c r="C89" s="1"/>
      <c r="D89" s="1"/>
      <c r="E89" s="1"/>
      <c r="F89" s="1"/>
      <c r="G89" s="1"/>
      <c r="H89" s="82"/>
      <c r="I89" s="41"/>
      <c r="J89" s="50"/>
      <c r="K89" s="1"/>
      <c r="L89" s="1"/>
      <c r="M89" s="1"/>
      <c r="N89" s="1"/>
      <c r="O89" s="1"/>
      <c r="P89" s="82"/>
      <c r="Q89" s="41"/>
      <c r="R89" s="50"/>
      <c r="S89" s="1"/>
      <c r="T89" s="1"/>
      <c r="U89" s="1"/>
      <c r="V89" s="1"/>
      <c r="W89" s="1"/>
      <c r="X89" s="82"/>
      <c r="Y89" s="41"/>
      <c r="Z89" s="50"/>
      <c r="AA89" s="1"/>
      <c r="AB89" s="1"/>
      <c r="AC89" s="1"/>
      <c r="AD89" s="1"/>
      <c r="AE89" s="1"/>
      <c r="AF89" s="82"/>
    </row>
    <row r="90" ht="15.75" customHeight="1">
      <c r="A90" s="41"/>
      <c r="B90" s="50"/>
      <c r="C90" s="1"/>
      <c r="D90" s="1"/>
      <c r="E90" s="1"/>
      <c r="F90" s="1"/>
      <c r="G90" s="1"/>
      <c r="H90" s="82"/>
      <c r="I90" s="41"/>
      <c r="J90" s="50"/>
      <c r="K90" s="1"/>
      <c r="L90" s="1"/>
      <c r="M90" s="1"/>
      <c r="N90" s="1"/>
      <c r="O90" s="137"/>
      <c r="P90" s="138"/>
      <c r="Q90" s="139"/>
      <c r="R90" s="50"/>
      <c r="S90" s="1"/>
      <c r="T90" s="1"/>
      <c r="U90" s="1"/>
      <c r="V90" s="1"/>
      <c r="W90" s="1"/>
      <c r="X90" s="82"/>
      <c r="Y90" s="41"/>
      <c r="Z90" s="50"/>
      <c r="AA90" s="1"/>
      <c r="AB90" s="1"/>
      <c r="AC90" s="1"/>
      <c r="AD90" s="1"/>
      <c r="AE90" s="1"/>
      <c r="AF90" s="82"/>
    </row>
    <row r="91" ht="15.75" customHeight="1">
      <c r="A91" s="41"/>
      <c r="B91" s="140"/>
      <c r="C91" s="141"/>
      <c r="D91" s="141"/>
      <c r="E91" s="141"/>
      <c r="F91" s="141"/>
      <c r="G91" s="141"/>
      <c r="H91" s="142"/>
      <c r="I91" s="41"/>
      <c r="J91" s="140"/>
      <c r="K91" s="141"/>
      <c r="L91" s="141"/>
      <c r="M91" s="141"/>
      <c r="N91" s="143"/>
      <c r="O91" s="141"/>
      <c r="P91" s="142"/>
      <c r="Q91" s="41"/>
      <c r="R91" s="140"/>
      <c r="S91" s="141"/>
      <c r="T91" s="141"/>
      <c r="U91" s="141"/>
      <c r="V91" s="141"/>
      <c r="W91" s="141"/>
      <c r="X91" s="142"/>
      <c r="Y91" s="41"/>
      <c r="Z91" s="140"/>
      <c r="AA91" s="141"/>
      <c r="AB91" s="141"/>
      <c r="AC91" s="141"/>
      <c r="AD91" s="141"/>
      <c r="AE91" s="141"/>
      <c r="AF91" s="142"/>
    </row>
    <row r="92" ht="15.7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ht="15.75" customHeight="1">
      <c r="A93" s="41"/>
      <c r="B93" s="144" t="s">
        <v>135</v>
      </c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6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ht="15.75" customHeight="1">
      <c r="A94" s="41"/>
      <c r="B94" s="147" t="s">
        <v>136</v>
      </c>
      <c r="C94" s="148">
        <v>1.0</v>
      </c>
      <c r="D94" s="148">
        <f t="shared" ref="D94:L94" si="90">C94+1</f>
        <v>2</v>
      </c>
      <c r="E94" s="148">
        <f t="shared" si="90"/>
        <v>3</v>
      </c>
      <c r="F94" s="148">
        <f t="shared" si="90"/>
        <v>4</v>
      </c>
      <c r="G94" s="148">
        <f t="shared" si="90"/>
        <v>5</v>
      </c>
      <c r="H94" s="148">
        <f t="shared" si="90"/>
        <v>6</v>
      </c>
      <c r="I94" s="148">
        <f t="shared" si="90"/>
        <v>7</v>
      </c>
      <c r="J94" s="148">
        <f t="shared" si="90"/>
        <v>8</v>
      </c>
      <c r="K94" s="148">
        <f t="shared" si="90"/>
        <v>9</v>
      </c>
      <c r="L94" s="148">
        <f t="shared" si="90"/>
        <v>10</v>
      </c>
      <c r="M94" s="149">
        <v>11.0</v>
      </c>
      <c r="N94" s="134"/>
      <c r="O94" s="134"/>
      <c r="P94" s="134"/>
      <c r="Q94" s="134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ht="15.75" customHeight="1">
      <c r="A95" s="41"/>
      <c r="B95" s="150" t="s">
        <v>60</v>
      </c>
      <c r="C95" s="151">
        <v>0.05</v>
      </c>
      <c r="D95" s="151">
        <v>0.02</v>
      </c>
      <c r="E95" s="151">
        <v>0.02</v>
      </c>
      <c r="F95" s="151">
        <v>0.02</v>
      </c>
      <c r="G95" s="151">
        <v>0.02</v>
      </c>
      <c r="H95" s="151">
        <v>0.02</v>
      </c>
      <c r="I95" s="151">
        <v>0.02</v>
      </c>
      <c r="J95" s="151">
        <v>0.02</v>
      </c>
      <c r="K95" s="151">
        <v>0.02</v>
      </c>
      <c r="L95" s="151">
        <v>0.02</v>
      </c>
      <c r="M95" s="152">
        <v>0.02</v>
      </c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</row>
    <row r="96" ht="15.75" customHeight="1">
      <c r="A96" s="41"/>
      <c r="B96" s="150" t="s">
        <v>137</v>
      </c>
      <c r="C96" s="153">
        <v>0.03</v>
      </c>
      <c r="D96" s="153">
        <v>0.03</v>
      </c>
      <c r="E96" s="153">
        <v>0.03</v>
      </c>
      <c r="F96" s="153">
        <v>0.03</v>
      </c>
      <c r="G96" s="153">
        <v>0.03</v>
      </c>
      <c r="H96" s="153">
        <v>0.03</v>
      </c>
      <c r="I96" s="153">
        <v>0.03</v>
      </c>
      <c r="J96" s="153">
        <v>0.03</v>
      </c>
      <c r="K96" s="153">
        <v>0.03</v>
      </c>
      <c r="L96" s="153">
        <v>0.03</v>
      </c>
      <c r="M96" s="154">
        <v>0.03</v>
      </c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</row>
    <row r="97" ht="15.75" customHeight="1">
      <c r="A97" s="41"/>
      <c r="B97" s="150" t="s">
        <v>138</v>
      </c>
      <c r="C97" s="153">
        <v>0.05</v>
      </c>
      <c r="D97" s="153">
        <v>0.03</v>
      </c>
      <c r="E97" s="153">
        <v>0.03</v>
      </c>
      <c r="F97" s="153">
        <v>0.03</v>
      </c>
      <c r="G97" s="153">
        <v>0.03</v>
      </c>
      <c r="H97" s="153">
        <v>0.03</v>
      </c>
      <c r="I97" s="153">
        <v>0.03</v>
      </c>
      <c r="J97" s="153">
        <v>0.03</v>
      </c>
      <c r="K97" s="153">
        <v>0.03</v>
      </c>
      <c r="L97" s="153">
        <v>0.03</v>
      </c>
      <c r="M97" s="154">
        <v>0.03</v>
      </c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</row>
    <row r="98" ht="15.75" customHeight="1">
      <c r="A98" s="41"/>
      <c r="B98" s="155" t="s">
        <v>139</v>
      </c>
      <c r="C98" s="156">
        <v>0.03</v>
      </c>
      <c r="D98" s="156">
        <v>0.03</v>
      </c>
      <c r="E98" s="156">
        <v>0.03</v>
      </c>
      <c r="F98" s="156">
        <v>0.03</v>
      </c>
      <c r="G98" s="156">
        <v>0.03</v>
      </c>
      <c r="H98" s="156">
        <v>0.03</v>
      </c>
      <c r="I98" s="156">
        <v>0.03</v>
      </c>
      <c r="J98" s="156">
        <v>0.03</v>
      </c>
      <c r="K98" s="156">
        <v>0.03</v>
      </c>
      <c r="L98" s="156">
        <v>0.03</v>
      </c>
      <c r="M98" s="157">
        <v>0.03</v>
      </c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</row>
    <row r="99" ht="15.75" customHeight="1">
      <c r="A99" s="41"/>
      <c r="B99" s="158"/>
      <c r="C99" s="159" t="s">
        <v>140</v>
      </c>
      <c r="D99" s="160"/>
      <c r="E99" s="160"/>
      <c r="F99" s="160"/>
      <c r="G99" s="160"/>
      <c r="H99" s="161"/>
      <c r="I99" s="8"/>
      <c r="J99" s="8"/>
      <c r="K99" s="8"/>
      <c r="L99" s="8"/>
      <c r="M99" s="162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</row>
    <row r="100" ht="15.75" customHeight="1">
      <c r="A100" s="41"/>
      <c r="B100" s="163"/>
      <c r="C100" s="164"/>
      <c r="D100" s="165"/>
      <c r="E100" s="165"/>
      <c r="F100" s="165"/>
      <c r="G100" s="165"/>
      <c r="H100" s="166"/>
      <c r="I100" s="8"/>
      <c r="J100" s="8"/>
      <c r="K100" s="8"/>
      <c r="L100" s="8"/>
      <c r="M100" s="162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</row>
    <row r="101" ht="15.75" customHeight="1">
      <c r="A101" s="41"/>
      <c r="B101" s="167" t="s">
        <v>141</v>
      </c>
      <c r="C101" s="168"/>
      <c r="D101" s="8"/>
      <c r="E101" s="8"/>
      <c r="F101" s="8"/>
      <c r="G101" s="8"/>
      <c r="H101" s="8"/>
      <c r="I101" s="8"/>
      <c r="J101" s="8"/>
      <c r="K101" s="8"/>
      <c r="L101" s="8"/>
      <c r="M101" s="162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</row>
    <row r="102" ht="15.75" customHeight="1">
      <c r="A102" s="41"/>
      <c r="B102" s="169" t="s">
        <v>142</v>
      </c>
      <c r="C102" s="170"/>
      <c r="D102" s="8"/>
      <c r="E102" s="8"/>
      <c r="F102" s="8"/>
      <c r="G102" s="8"/>
      <c r="H102" s="8"/>
      <c r="I102" s="8"/>
      <c r="J102" s="8"/>
      <c r="K102" s="8"/>
      <c r="L102" s="8"/>
      <c r="M102" s="162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</row>
    <row r="103" ht="15.75" customHeight="1">
      <c r="A103" s="41"/>
      <c r="B103" s="169" t="s">
        <v>143</v>
      </c>
      <c r="C103" s="171">
        <v>0.0</v>
      </c>
      <c r="D103" s="8"/>
      <c r="E103" s="8"/>
      <c r="F103" s="8"/>
      <c r="G103" s="8"/>
      <c r="H103" s="8"/>
      <c r="I103" s="8"/>
      <c r="J103" s="8"/>
      <c r="K103" s="8"/>
      <c r="L103" s="8"/>
      <c r="M103" s="162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</row>
    <row r="104" ht="15.75" customHeight="1">
      <c r="A104" s="41"/>
      <c r="B104" s="169" t="s">
        <v>144</v>
      </c>
      <c r="C104" s="172">
        <v>0.0</v>
      </c>
      <c r="D104" s="8"/>
      <c r="E104" s="8"/>
      <c r="F104" s="8"/>
      <c r="G104" s="8"/>
      <c r="H104" s="8"/>
      <c r="I104" s="8"/>
      <c r="J104" s="8"/>
      <c r="K104" s="8"/>
      <c r="L104" s="8"/>
      <c r="M104" s="162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</row>
    <row r="105" ht="15.75" customHeight="1">
      <c r="A105" s="41"/>
      <c r="B105" s="169" t="s">
        <v>145</v>
      </c>
      <c r="C105" s="173">
        <v>1.0</v>
      </c>
      <c r="D105" s="8"/>
      <c r="E105" s="8"/>
      <c r="F105" s="8"/>
      <c r="G105" s="8"/>
      <c r="H105" s="8"/>
      <c r="I105" s="8"/>
      <c r="J105" s="8"/>
      <c r="K105" s="8"/>
      <c r="L105" s="8"/>
      <c r="M105" s="162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</row>
    <row r="106" ht="15.75" customHeight="1">
      <c r="A106" s="41"/>
      <c r="B106" s="169" t="s">
        <v>146</v>
      </c>
      <c r="C106" s="174">
        <f>C102*(E12+L12+T12+AB12)</f>
        <v>0</v>
      </c>
      <c r="D106" s="8"/>
      <c r="E106" s="8"/>
      <c r="F106" s="8"/>
      <c r="G106" s="8"/>
      <c r="H106" s="8"/>
      <c r="I106" s="8"/>
      <c r="J106" s="8"/>
      <c r="K106" s="8"/>
      <c r="L106" s="8"/>
      <c r="M106" s="162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</row>
    <row r="107" ht="15.75" customHeight="1">
      <c r="A107" s="41"/>
      <c r="B107" s="175" t="s">
        <v>147</v>
      </c>
      <c r="C107" s="176" t="s">
        <v>148</v>
      </c>
      <c r="D107" s="8"/>
      <c r="E107" s="8"/>
      <c r="F107" s="8"/>
      <c r="G107" s="8"/>
      <c r="H107" s="8"/>
      <c r="I107" s="8"/>
      <c r="J107" s="8"/>
      <c r="K107" s="8"/>
      <c r="L107" s="8"/>
      <c r="M107" s="162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</row>
    <row r="108" ht="15.75" customHeight="1">
      <c r="A108" s="41"/>
      <c r="B108" s="15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162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</row>
    <row r="109" ht="15.75" customHeight="1">
      <c r="A109" s="41"/>
      <c r="B109" s="15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162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</row>
    <row r="110" ht="15.75" customHeight="1">
      <c r="A110" s="41"/>
      <c r="B110" s="177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9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</row>
    <row r="111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</row>
    <row r="112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134"/>
      <c r="O112" s="134"/>
      <c r="P112" s="134"/>
      <c r="Q112" s="134"/>
      <c r="R112" s="134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</row>
    <row r="113" ht="15.75" customHeight="1">
      <c r="A113" s="41"/>
      <c r="B113" s="41"/>
      <c r="C113" s="41"/>
      <c r="D113" s="41"/>
      <c r="E113" s="41"/>
      <c r="F113" s="41"/>
      <c r="G113" s="114"/>
      <c r="H113" s="114"/>
      <c r="I113" s="114"/>
      <c r="J113" s="114"/>
      <c r="K113" s="41"/>
      <c r="L113" s="114"/>
      <c r="M113" s="114"/>
      <c r="N113" s="114"/>
      <c r="O113" s="114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</row>
    <row r="114" ht="15.75" hidden="1" customHeight="1">
      <c r="A114" s="41"/>
      <c r="B114" s="41">
        <v>1.0</v>
      </c>
      <c r="C114" s="41">
        <v>2.0</v>
      </c>
      <c r="D114" s="41">
        <v>3.0</v>
      </c>
      <c r="E114" s="41">
        <v>4.0</v>
      </c>
      <c r="F114" s="41">
        <v>5.0</v>
      </c>
      <c r="G114" s="114">
        <v>6.0</v>
      </c>
      <c r="H114" s="114">
        <v>7.0</v>
      </c>
      <c r="I114" s="114">
        <v>8.0</v>
      </c>
      <c r="J114" s="114"/>
      <c r="K114" s="114"/>
      <c r="L114" s="114"/>
      <c r="M114" s="114"/>
      <c r="N114" s="114"/>
      <c r="O114" s="114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</row>
    <row r="115" ht="15.75" hidden="1" customHeight="1">
      <c r="A115" s="41"/>
      <c r="B115" s="180">
        <f>C103</f>
        <v>0</v>
      </c>
      <c r="C115" s="41">
        <f t="shared" ref="C115:I115" si="91">IF(C114&gt;$C$104,0,(B115+1))</f>
        <v>0</v>
      </c>
      <c r="D115" s="41">
        <f t="shared" si="91"/>
        <v>0</v>
      </c>
      <c r="E115" s="41">
        <f t="shared" si="91"/>
        <v>0</v>
      </c>
      <c r="F115" s="41">
        <f t="shared" si="91"/>
        <v>0</v>
      </c>
      <c r="G115" s="41">
        <f t="shared" si="91"/>
        <v>0</v>
      </c>
      <c r="H115" s="41">
        <f t="shared" si="91"/>
        <v>0</v>
      </c>
      <c r="I115" s="41">
        <f t="shared" si="91"/>
        <v>0</v>
      </c>
      <c r="J115" s="114"/>
      <c r="K115" s="114"/>
      <c r="L115" s="114"/>
      <c r="M115" s="114"/>
      <c r="N115" s="114"/>
      <c r="O115" s="114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</row>
    <row r="116" ht="15.75" hidden="1" customHeight="1">
      <c r="A116" s="41"/>
      <c r="B116" s="41"/>
      <c r="C116" s="41"/>
      <c r="D116" s="41"/>
      <c r="E116" s="41"/>
      <c r="F116" s="41"/>
      <c r="G116" s="131"/>
      <c r="H116" s="131"/>
      <c r="I116" s="131"/>
      <c r="J116" s="114"/>
      <c r="K116" s="114"/>
      <c r="L116" s="114"/>
      <c r="M116" s="114"/>
      <c r="N116" s="114"/>
      <c r="O116" s="114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</row>
    <row r="117" ht="15.75" hidden="1" customHeight="1">
      <c r="A117" s="41"/>
      <c r="B117" s="181"/>
      <c r="C117" s="181"/>
      <c r="D117" s="181"/>
      <c r="E117" s="181"/>
      <c r="F117" s="181"/>
      <c r="G117" s="41"/>
      <c r="H117" s="41"/>
      <c r="I117" s="41"/>
      <c r="J117" s="131"/>
      <c r="K117" s="114"/>
      <c r="L117" s="114"/>
      <c r="M117" s="114"/>
      <c r="N117" s="114"/>
      <c r="O117" s="13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</row>
    <row r="118" ht="15.75" hidden="1" customHeight="1">
      <c r="A118" s="41"/>
      <c r="B118" s="134">
        <f>Returns!D33</f>
        <v>0.2038838972</v>
      </c>
      <c r="C118" s="41">
        <v>3.0</v>
      </c>
      <c r="D118" s="41">
        <v>4.0</v>
      </c>
      <c r="E118" s="41">
        <v>5.0</v>
      </c>
      <c r="F118" s="41">
        <v>6.0</v>
      </c>
      <c r="G118" s="41">
        <v>7.0</v>
      </c>
      <c r="H118" s="41">
        <v>8.0</v>
      </c>
      <c r="I118" s="41">
        <v>9.0</v>
      </c>
      <c r="J118" s="41">
        <v>10.0</v>
      </c>
      <c r="K118" s="41"/>
      <c r="L118" s="41"/>
      <c r="M118" s="41"/>
      <c r="N118" s="134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</row>
    <row r="119" ht="15.75" hidden="1" customHeight="1">
      <c r="A119" s="41"/>
      <c r="B119" s="134">
        <v>0.055</v>
      </c>
      <c r="C119" s="182">
        <v>0.21093280316040874</v>
      </c>
      <c r="D119" s="182">
        <v>0.2124341075006686</v>
      </c>
      <c r="E119" s="182">
        <v>0.213683928687735</v>
      </c>
      <c r="F119" s="182">
        <v>0.21472360455304806</v>
      </c>
      <c r="G119" s="182">
        <v>0.21558832175231357</v>
      </c>
      <c r="H119" s="182">
        <v>0.21630766154326575</v>
      </c>
      <c r="I119" s="182">
        <v>0.21690630297753954</v>
      </c>
      <c r="J119" s="182">
        <v>0.21527921990151877</v>
      </c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</row>
    <row r="120" ht="15.75" hidden="1" customHeight="1">
      <c r="A120" s="41"/>
      <c r="B120" s="182">
        <v>0.06</v>
      </c>
      <c r="C120" s="182">
        <v>0.19568230359227168</v>
      </c>
      <c r="D120" s="182">
        <v>0.1980020507650615</v>
      </c>
      <c r="E120" s="182">
        <v>0.19996859710287906</v>
      </c>
      <c r="F120" s="182">
        <v>0.2016299712294769</v>
      </c>
      <c r="G120" s="182">
        <v>0.20303045890720117</v>
      </c>
      <c r="H120" s="182">
        <v>0.2042095228076557</v>
      </c>
      <c r="I120" s="182">
        <v>0.2052015450087077</v>
      </c>
      <c r="J120" s="182">
        <v>0.20388389716282096</v>
      </c>
      <c r="K120" s="134"/>
      <c r="L120" s="134"/>
      <c r="M120" s="134"/>
      <c r="N120" s="134"/>
      <c r="O120" s="134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</row>
    <row r="121" ht="15.75" hidden="1" customHeight="1">
      <c r="A121" s="41"/>
      <c r="B121" s="134">
        <v>0.065</v>
      </c>
      <c r="C121" s="182">
        <v>0.18152696189910933</v>
      </c>
      <c r="D121" s="182">
        <v>0.18454667123683488</v>
      </c>
      <c r="E121" s="182">
        <v>0.18714932059993328</v>
      </c>
      <c r="F121" s="182">
        <v>0.18937913054931443</v>
      </c>
      <c r="G121" s="182">
        <v>0.19128151109624136</v>
      </c>
      <c r="H121" s="182">
        <v>0.19289997452174013</v>
      </c>
      <c r="I121" s="182">
        <v>0.19427443792575705</v>
      </c>
      <c r="J121" s="182">
        <v>0.19325756385001114</v>
      </c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</row>
    <row r="122" ht="15.75" hidden="1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</row>
    <row r="123" ht="15.75" hidden="1" customHeight="1">
      <c r="A123" s="41"/>
      <c r="B123" s="181"/>
      <c r="C123" s="41"/>
      <c r="D123" s="41"/>
      <c r="E123" s="41"/>
      <c r="F123" s="41"/>
      <c r="G123" s="41"/>
      <c r="H123" s="41"/>
      <c r="I123" s="41"/>
      <c r="J123" s="131"/>
      <c r="K123" s="114"/>
      <c r="L123" s="114"/>
      <c r="M123" s="114"/>
      <c r="N123" s="114"/>
      <c r="O123" s="13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</row>
    <row r="124" ht="15.75" hidden="1" customHeight="1">
      <c r="A124" s="41"/>
      <c r="B124" s="183"/>
      <c r="C124" s="184"/>
      <c r="D124" s="185"/>
      <c r="E124" s="185"/>
      <c r="F124" s="185"/>
      <c r="G124" s="185"/>
      <c r="H124" s="185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</row>
    <row r="125" ht="15.75" hidden="1" customHeight="1">
      <c r="A125" s="41"/>
      <c r="B125" s="183"/>
      <c r="C125" s="185"/>
      <c r="D125" s="134"/>
      <c r="E125" s="134"/>
      <c r="F125" s="134"/>
      <c r="G125" s="134"/>
      <c r="H125" s="134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</row>
    <row r="126" ht="15.75" hidden="1" customHeight="1">
      <c r="A126" s="41"/>
      <c r="B126" s="183"/>
      <c r="C126" s="185"/>
      <c r="D126" s="186">
        <f>Returns!D32</f>
        <v>0.1885255102</v>
      </c>
      <c r="E126" s="187">
        <v>3.0</v>
      </c>
      <c r="F126" s="187">
        <v>4.0</v>
      </c>
      <c r="G126" s="187">
        <v>5.0</v>
      </c>
      <c r="H126" s="187">
        <v>6.0</v>
      </c>
      <c r="I126" s="187">
        <v>7.0</v>
      </c>
      <c r="J126" s="187">
        <v>8.0</v>
      </c>
      <c r="K126" s="187">
        <v>9.0</v>
      </c>
      <c r="L126" s="187">
        <v>10.0</v>
      </c>
      <c r="M126" s="188"/>
      <c r="N126" s="188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</row>
    <row r="127" ht="15.75" hidden="1" customHeight="1">
      <c r="A127" s="41"/>
      <c r="B127" s="183"/>
      <c r="C127" s="185"/>
      <c r="D127" s="134">
        <v>0.055</v>
      </c>
      <c r="E127" s="189">
        <v>0.19348925616934176</v>
      </c>
      <c r="F127" s="189">
        <v>0.194947990595141</v>
      </c>
      <c r="G127" s="189">
        <v>0.19617624508797693</v>
      </c>
      <c r="H127" s="189">
        <v>0.19720403286009947</v>
      </c>
      <c r="I127" s="41">
        <v>0.19805910178620545</v>
      </c>
      <c r="J127" s="184">
        <v>0.19876644158557055</v>
      </c>
      <c r="K127" s="189">
        <v>0.19934814963908742</v>
      </c>
      <c r="L127" s="189">
        <v>0.1980349121511169</v>
      </c>
      <c r="M127" s="189"/>
      <c r="N127" s="189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</row>
    <row r="128" ht="15.75" hidden="1" customHeight="1">
      <c r="A128" s="41"/>
      <c r="B128" s="183"/>
      <c r="C128" s="185"/>
      <c r="D128" s="182">
        <v>0.06</v>
      </c>
      <c r="E128" s="189">
        <v>0.1812312415117192</v>
      </c>
      <c r="F128" s="189">
        <v>0.18323024167744917</v>
      </c>
      <c r="G128" s="189">
        <v>0.18494659431471505</v>
      </c>
      <c r="H128" s="189">
        <v>0.1864101530958684</v>
      </c>
      <c r="I128" s="41">
        <v>0.18765090563221687</v>
      </c>
      <c r="J128" s="184">
        <v>0.1886974619451658</v>
      </c>
      <c r="K128" s="189">
        <v>0.1895761958610387</v>
      </c>
      <c r="L128" s="189">
        <v>0.18852551022051878</v>
      </c>
      <c r="M128" s="189"/>
      <c r="N128" s="189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</row>
    <row r="129" ht="15.75" hidden="1" customHeight="1">
      <c r="A129" s="41"/>
      <c r="B129" s="183"/>
      <c r="C129" s="185"/>
      <c r="D129" s="134">
        <v>0.065</v>
      </c>
      <c r="E129" s="189">
        <v>0.17002627818482696</v>
      </c>
      <c r="F129" s="189">
        <v>0.1724785642582667</v>
      </c>
      <c r="G129" s="189">
        <v>0.1746187991355872</v>
      </c>
      <c r="H129" s="189">
        <v>0.1764715889588384</v>
      </c>
      <c r="I129" s="41">
        <v>0.17806492001861218</v>
      </c>
      <c r="J129" s="184">
        <v>0.17942765586162146</v>
      </c>
      <c r="K129" s="189">
        <v>0.18058785567850766</v>
      </c>
      <c r="L129" s="189">
        <v>0.17978757900602682</v>
      </c>
      <c r="M129" s="189"/>
      <c r="N129" s="189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</row>
    <row r="130" ht="15.75" customHeight="1">
      <c r="A130" s="41"/>
      <c r="B130" s="183"/>
      <c r="C130" s="190"/>
      <c r="D130" s="191"/>
      <c r="E130" s="191"/>
      <c r="F130" s="191"/>
      <c r="G130" s="191"/>
      <c r="H130" s="19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</row>
    <row r="131" ht="15.75" customHeight="1">
      <c r="A131" s="41"/>
      <c r="B131" s="41"/>
      <c r="C131" s="41"/>
      <c r="D131" s="41"/>
      <c r="E131" s="41"/>
      <c r="F131" s="41"/>
      <c r="G131" s="139"/>
      <c r="H131" s="139"/>
      <c r="I131" s="139"/>
      <c r="J131" s="41"/>
      <c r="K131" s="13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</row>
    <row r="132" ht="15.75" customHeight="1">
      <c r="A132" s="41"/>
      <c r="B132" s="41"/>
      <c r="C132" s="41"/>
      <c r="D132" s="41"/>
      <c r="E132" s="41"/>
      <c r="F132" s="41"/>
      <c r="G132" s="139"/>
      <c r="H132" s="41"/>
      <c r="I132" s="41"/>
      <c r="J132" s="139"/>
      <c r="K132" s="41"/>
      <c r="L132" s="41"/>
      <c r="M132" s="41"/>
      <c r="N132" s="41"/>
      <c r="O132" s="139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</row>
    <row r="133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134"/>
      <c r="L133" s="139"/>
      <c r="M133" s="139"/>
      <c r="N133" s="139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</row>
    <row r="134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</row>
    <row r="135" ht="15.75" customHeight="1">
      <c r="A135" s="41"/>
      <c r="B135" s="41"/>
      <c r="C135" s="41"/>
      <c r="D135" s="41"/>
      <c r="E135" s="41"/>
      <c r="F135" s="41"/>
      <c r="G135" s="134"/>
      <c r="H135" s="134"/>
      <c r="I135" s="134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</row>
    <row r="136" ht="15.75" customHeight="1">
      <c r="A136" s="41"/>
      <c r="B136" s="41"/>
      <c r="C136" s="41"/>
      <c r="D136" s="41"/>
      <c r="E136" s="41"/>
      <c r="F136" s="41"/>
      <c r="G136" s="134"/>
      <c r="H136" s="134"/>
      <c r="I136" s="134"/>
      <c r="J136" s="134"/>
      <c r="K136" s="139"/>
      <c r="L136" s="41"/>
      <c r="M136" s="41"/>
      <c r="N136" s="41"/>
      <c r="O136" s="134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</row>
    <row r="137" ht="15.75" customHeight="1">
      <c r="A137" s="41"/>
      <c r="B137" s="41"/>
      <c r="C137" s="41"/>
      <c r="D137" s="41"/>
      <c r="E137" s="192"/>
      <c r="F137" s="134"/>
      <c r="G137" s="41"/>
      <c r="H137" s="41"/>
      <c r="I137" s="41"/>
      <c r="J137" s="134"/>
      <c r="K137" s="41"/>
      <c r="L137" s="134"/>
      <c r="M137" s="134"/>
      <c r="N137" s="134"/>
      <c r="O137" s="134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</row>
    <row r="138" ht="15.75" customHeight="1">
      <c r="A138" s="41"/>
      <c r="B138" s="41"/>
      <c r="C138" s="41"/>
      <c r="D138" s="41"/>
      <c r="E138" s="192"/>
      <c r="F138" s="134"/>
      <c r="G138" s="114"/>
      <c r="H138" s="41"/>
      <c r="I138" s="193"/>
      <c r="J138" s="41"/>
      <c r="K138" s="41"/>
      <c r="L138" s="134"/>
      <c r="M138" s="134"/>
      <c r="N138" s="134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</row>
    <row r="139" ht="15.75" customHeight="1">
      <c r="A139" s="41"/>
      <c r="B139" s="41"/>
      <c r="C139" s="41"/>
      <c r="D139" s="41"/>
      <c r="E139" s="192"/>
      <c r="F139" s="134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</row>
    <row r="140" ht="15.75" customHeight="1">
      <c r="A140" s="41"/>
      <c r="B140" s="41"/>
      <c r="C140" s="41"/>
      <c r="D140" s="41"/>
      <c r="E140" s="114"/>
      <c r="F140" s="41"/>
      <c r="G140" s="41"/>
      <c r="H140" s="41"/>
      <c r="I140" s="41"/>
      <c r="J140" s="41"/>
      <c r="K140" s="134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</row>
    <row r="141" ht="15.75" customHeight="1">
      <c r="A141" s="41"/>
      <c r="B141" s="41"/>
      <c r="C141" s="181"/>
      <c r="D141" s="181"/>
      <c r="E141" s="194"/>
      <c r="F141" s="41"/>
      <c r="G141" s="114"/>
      <c r="H141" s="114"/>
      <c r="I141" s="114"/>
      <c r="J141" s="41"/>
      <c r="K141" s="134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</row>
    <row r="142" ht="15.75" customHeight="1">
      <c r="A142" s="41"/>
      <c r="B142" s="41"/>
      <c r="C142" s="181"/>
      <c r="D142" s="181"/>
      <c r="E142" s="195"/>
      <c r="F142" s="193"/>
      <c r="G142" s="41"/>
      <c r="H142" s="41"/>
      <c r="I142" s="41"/>
      <c r="J142" s="114"/>
      <c r="K142" s="41"/>
      <c r="L142" s="41"/>
      <c r="M142" s="41"/>
      <c r="N142" s="41"/>
      <c r="O142" s="114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</row>
    <row r="143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114"/>
      <c r="M143" s="114"/>
      <c r="N143" s="114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</row>
    <row r="144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</row>
    <row r="145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</row>
    <row r="146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114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</row>
    <row r="147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</row>
    <row r="148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</row>
    <row r="149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</row>
    <row r="150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</row>
    <row r="151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</row>
    <row r="152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</row>
    <row r="153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</row>
    <row r="154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</row>
    <row r="155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</row>
    <row r="15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</row>
    <row r="157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</row>
    <row r="158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</row>
    <row r="159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</row>
    <row r="160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</row>
    <row r="161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</row>
    <row r="162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</row>
    <row r="163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</row>
    <row r="164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</row>
    <row r="165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</row>
    <row r="16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</row>
    <row r="167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</row>
    <row r="168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</row>
    <row r="169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</row>
    <row r="170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</row>
    <row r="171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</row>
    <row r="172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</row>
    <row r="173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</row>
    <row r="174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</row>
    <row r="175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</row>
    <row r="17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</row>
    <row r="177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</row>
    <row r="178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</row>
    <row r="179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</row>
    <row r="180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</row>
    <row r="181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</row>
    <row r="182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</row>
    <row r="183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</row>
    <row r="184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</row>
    <row r="185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</row>
    <row r="18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</row>
    <row r="187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</row>
    <row r="188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</row>
    <row r="189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</row>
    <row r="190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</row>
    <row r="191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</row>
    <row r="192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</row>
    <row r="193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</row>
    <row r="194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</row>
    <row r="195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</row>
    <row r="19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</row>
    <row r="197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</row>
    <row r="198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</row>
    <row r="199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</row>
    <row r="200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</row>
    <row r="201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</row>
    <row r="202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</row>
    <row r="203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</row>
    <row r="204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</row>
    <row r="205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</row>
    <row r="20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</row>
    <row r="207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</row>
    <row r="208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</row>
    <row r="209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</row>
    <row r="210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</row>
    <row r="211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</row>
    <row r="212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</row>
    <row r="213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</row>
    <row r="214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</row>
    <row r="215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</row>
    <row r="21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</row>
    <row r="217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</row>
    <row r="218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</row>
    <row r="219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</row>
    <row r="220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</row>
    <row r="221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</row>
    <row r="222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</row>
    <row r="223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</row>
    <row r="224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</row>
    <row r="225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</row>
    <row r="2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</row>
    <row r="227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</row>
    <row r="228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</row>
    <row r="229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</row>
    <row r="230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</row>
    <row r="231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</row>
    <row r="232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</row>
    <row r="233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</row>
    <row r="234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</row>
    <row r="235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</row>
    <row r="23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</row>
    <row r="237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</row>
    <row r="238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</row>
    <row r="239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</row>
    <row r="240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</row>
    <row r="241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</row>
    <row r="242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</row>
    <row r="243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</row>
    <row r="244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</row>
    <row r="245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</row>
    <row r="24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</row>
    <row r="247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</row>
    <row r="248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</row>
    <row r="249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</row>
    <row r="250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</row>
    <row r="251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</row>
    <row r="252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</row>
    <row r="253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</row>
    <row r="254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</row>
    <row r="255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</row>
    <row r="25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</row>
    <row r="257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</row>
    <row r="258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</row>
    <row r="259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</row>
    <row r="260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</row>
    <row r="261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</row>
    <row r="262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</row>
    <row r="263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</row>
    <row r="264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</row>
    <row r="265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</row>
    <row r="26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</row>
    <row r="267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</row>
    <row r="268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</row>
    <row r="269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</row>
    <row r="270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</row>
    <row r="271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</row>
    <row r="272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</row>
    <row r="273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</row>
    <row r="274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</row>
    <row r="275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</row>
    <row r="27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</row>
    <row r="277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</row>
    <row r="278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</row>
    <row r="279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</row>
    <row r="280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</row>
    <row r="281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</row>
    <row r="282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</row>
    <row r="283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</row>
    <row r="284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</row>
    <row r="285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</row>
    <row r="28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</row>
    <row r="287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</row>
    <row r="288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</row>
    <row r="289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</row>
    <row r="290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</row>
    <row r="291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</row>
    <row r="292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</row>
    <row r="293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</row>
    <row r="294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</row>
    <row r="295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</row>
    <row r="29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</row>
    <row r="297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</row>
    <row r="298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</row>
    <row r="299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</row>
    <row r="300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</row>
    <row r="301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</row>
    <row r="302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</row>
    <row r="303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</row>
    <row r="304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</row>
    <row r="305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</row>
    <row r="30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</row>
    <row r="307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</row>
    <row r="308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</row>
    <row r="309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</row>
    <row r="310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</row>
    <row r="311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</row>
    <row r="312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</row>
    <row r="313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</row>
    <row r="314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</row>
    <row r="315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</row>
    <row r="31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</row>
    <row r="317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</row>
    <row r="318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</row>
    <row r="319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</row>
    <row r="320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</row>
    <row r="321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</row>
    <row r="322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</row>
    <row r="323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</row>
    <row r="324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</row>
    <row r="325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</row>
    <row r="3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</row>
    <row r="327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</row>
    <row r="328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</row>
    <row r="329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</row>
    <row r="330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</row>
    <row r="331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</row>
    <row r="332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</row>
    <row r="333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</row>
    <row r="334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</row>
    <row r="335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</row>
    <row r="33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</row>
    <row r="337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</row>
    <row r="338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</row>
    <row r="339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</row>
    <row r="340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</row>
    <row r="341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</row>
    <row r="342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</row>
    <row r="343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</row>
    <row r="344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</row>
    <row r="345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</row>
    <row r="34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</row>
    <row r="347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</row>
    <row r="348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</row>
    <row r="349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</row>
    <row r="350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</row>
    <row r="351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</row>
    <row r="352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</row>
    <row r="353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</row>
    <row r="354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</row>
    <row r="355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</row>
    <row r="35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</row>
    <row r="357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</row>
    <row r="358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</row>
    <row r="359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</row>
    <row r="360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</row>
    <row r="361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</row>
    <row r="362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</row>
    <row r="363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</row>
    <row r="364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</row>
    <row r="365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</row>
    <row r="36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</row>
    <row r="367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</row>
    <row r="368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</row>
    <row r="369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</row>
    <row r="370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</row>
    <row r="371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</row>
    <row r="372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</row>
    <row r="373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</row>
    <row r="374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</row>
    <row r="375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</row>
    <row r="37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</row>
    <row r="377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</row>
    <row r="378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</row>
    <row r="379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</row>
    <row r="380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</row>
    <row r="381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</row>
    <row r="382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</row>
    <row r="383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</row>
    <row r="384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</row>
    <row r="385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</row>
    <row r="38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</row>
    <row r="387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</row>
    <row r="388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</row>
    <row r="389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</row>
    <row r="390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</row>
    <row r="391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</row>
    <row r="392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</row>
    <row r="393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</row>
    <row r="394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</row>
    <row r="395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</row>
    <row r="39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</row>
    <row r="397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</row>
    <row r="398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</row>
    <row r="399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</row>
    <row r="400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</row>
    <row r="401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</row>
    <row r="402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</row>
    <row r="403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</row>
    <row r="404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</row>
    <row r="405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</row>
    <row r="40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</row>
    <row r="407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</row>
    <row r="408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</row>
    <row r="409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</row>
    <row r="410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</row>
    <row r="411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</row>
    <row r="412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</row>
    <row r="413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</row>
    <row r="414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</row>
    <row r="415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</row>
    <row r="41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</row>
    <row r="417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</row>
    <row r="418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</row>
    <row r="419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</row>
    <row r="420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</row>
    <row r="421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</row>
    <row r="422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</row>
    <row r="423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</row>
    <row r="424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</row>
    <row r="425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</row>
    <row r="4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</row>
    <row r="427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</row>
    <row r="428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</row>
    <row r="429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</row>
    <row r="430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</row>
    <row r="431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</row>
    <row r="432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</row>
    <row r="433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</row>
    <row r="434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</row>
    <row r="435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</row>
    <row r="43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</row>
    <row r="437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</row>
    <row r="438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</row>
    <row r="439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</row>
    <row r="440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</row>
    <row r="441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</row>
    <row r="442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</row>
    <row r="443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</row>
    <row r="444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</row>
    <row r="445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</row>
    <row r="44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</row>
    <row r="447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</row>
    <row r="448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</row>
    <row r="449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</row>
    <row r="450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</row>
    <row r="451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</row>
    <row r="452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</row>
    <row r="453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</row>
    <row r="454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</row>
    <row r="455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</row>
    <row r="45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</row>
    <row r="457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</row>
    <row r="458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</row>
    <row r="459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</row>
    <row r="460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</row>
    <row r="461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</row>
    <row r="462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</row>
    <row r="463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</row>
    <row r="464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</row>
    <row r="465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</row>
    <row r="46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</row>
    <row r="467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</row>
    <row r="468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</row>
    <row r="469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</row>
    <row r="470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</row>
    <row r="471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</row>
    <row r="472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</row>
    <row r="473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</row>
    <row r="474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</row>
    <row r="475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</row>
    <row r="47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</row>
    <row r="477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</row>
    <row r="478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</row>
    <row r="479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</row>
    <row r="480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</row>
    <row r="481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</row>
    <row r="482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</row>
    <row r="483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</row>
    <row r="484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</row>
    <row r="485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</row>
    <row r="48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</row>
    <row r="487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</row>
    <row r="488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</row>
    <row r="489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</row>
    <row r="490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</row>
    <row r="491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</row>
    <row r="492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</row>
    <row r="493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</row>
    <row r="494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</row>
    <row r="495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</row>
    <row r="49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</row>
    <row r="497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</row>
    <row r="498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</row>
    <row r="499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</row>
    <row r="500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</row>
    <row r="501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</row>
    <row r="502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</row>
    <row r="503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</row>
    <row r="504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</row>
    <row r="505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</row>
    <row r="50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</row>
    <row r="507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</row>
    <row r="508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</row>
    <row r="509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</row>
    <row r="510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</row>
    <row r="511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</row>
    <row r="512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</row>
    <row r="513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</row>
    <row r="514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</row>
    <row r="515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</row>
    <row r="51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</row>
    <row r="517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</row>
    <row r="518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</row>
    <row r="519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</row>
    <row r="520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</row>
    <row r="521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</row>
    <row r="522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</row>
    <row r="523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</row>
    <row r="524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</row>
    <row r="525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</row>
    <row r="5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</row>
    <row r="527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</row>
    <row r="528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</row>
    <row r="529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</row>
    <row r="530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</row>
    <row r="531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</row>
    <row r="532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</row>
    <row r="533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</row>
    <row r="534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</row>
    <row r="535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</row>
    <row r="53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</row>
    <row r="537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</row>
    <row r="538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</row>
    <row r="539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</row>
    <row r="540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</row>
    <row r="541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</row>
    <row r="542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</row>
    <row r="543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</row>
    <row r="544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</row>
    <row r="545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</row>
    <row r="54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</row>
    <row r="547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</row>
    <row r="548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</row>
    <row r="549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</row>
    <row r="550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</row>
    <row r="551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</row>
    <row r="552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</row>
    <row r="553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</row>
    <row r="554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</row>
    <row r="555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</row>
    <row r="55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</row>
    <row r="557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</row>
    <row r="558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</row>
    <row r="559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</row>
    <row r="560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</row>
    <row r="561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</row>
    <row r="562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</row>
    <row r="563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</row>
    <row r="564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</row>
    <row r="565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</row>
    <row r="56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</row>
    <row r="567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</row>
    <row r="568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</row>
    <row r="569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</row>
    <row r="570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</row>
    <row r="571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</row>
    <row r="572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</row>
    <row r="573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</row>
    <row r="574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</row>
    <row r="575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</row>
    <row r="57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</row>
    <row r="577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</row>
    <row r="578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</row>
    <row r="579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</row>
    <row r="580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</row>
    <row r="581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</row>
    <row r="582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</row>
    <row r="583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</row>
    <row r="584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</row>
    <row r="585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</row>
    <row r="58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</row>
    <row r="587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</row>
    <row r="588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</row>
    <row r="589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</row>
    <row r="590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</row>
    <row r="591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</row>
    <row r="592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</row>
    <row r="593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</row>
    <row r="594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</row>
    <row r="595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</row>
    <row r="59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</row>
    <row r="597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</row>
    <row r="598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</row>
    <row r="599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</row>
    <row r="600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</row>
    <row r="601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</row>
    <row r="602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</row>
    <row r="603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</row>
    <row r="604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</row>
    <row r="605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</row>
    <row r="60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</row>
    <row r="607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</row>
    <row r="608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</row>
    <row r="609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</row>
    <row r="610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</row>
    <row r="611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</row>
    <row r="612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</row>
    <row r="613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</row>
    <row r="614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</row>
    <row r="615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</row>
    <row r="61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</row>
    <row r="617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</row>
    <row r="618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</row>
    <row r="619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</row>
    <row r="620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</row>
    <row r="621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</row>
    <row r="622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</row>
    <row r="623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</row>
    <row r="624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</row>
    <row r="625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</row>
    <row r="6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</row>
    <row r="627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</row>
    <row r="628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</row>
    <row r="629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</row>
    <row r="630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</row>
    <row r="631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</row>
    <row r="632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</row>
    <row r="633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</row>
    <row r="634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</row>
    <row r="635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</row>
    <row r="63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</row>
    <row r="637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</row>
    <row r="638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</row>
    <row r="639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</row>
    <row r="640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</row>
    <row r="641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</row>
    <row r="642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</row>
    <row r="643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</row>
    <row r="644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</row>
    <row r="645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</row>
    <row r="64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</row>
    <row r="647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</row>
    <row r="648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</row>
    <row r="649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</row>
    <row r="650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</row>
    <row r="651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</row>
    <row r="652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</row>
    <row r="653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</row>
    <row r="654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</row>
    <row r="655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</row>
    <row r="65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</row>
    <row r="657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</row>
    <row r="658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</row>
    <row r="659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</row>
    <row r="660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</row>
    <row r="661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</row>
    <row r="662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</row>
    <row r="663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</row>
    <row r="664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</row>
    <row r="665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</row>
    <row r="66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</row>
    <row r="667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</row>
    <row r="668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</row>
    <row r="669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</row>
    <row r="670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</row>
    <row r="671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</row>
    <row r="672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</row>
    <row r="673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</row>
    <row r="674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</row>
    <row r="675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</row>
    <row r="67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</row>
    <row r="677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</row>
    <row r="678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</row>
    <row r="679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</row>
    <row r="680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</row>
    <row r="681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</row>
    <row r="682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</row>
    <row r="683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</row>
    <row r="684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</row>
    <row r="685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</row>
    <row r="68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</row>
    <row r="687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</row>
    <row r="688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</row>
    <row r="689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</row>
    <row r="690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</row>
    <row r="691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</row>
    <row r="692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</row>
    <row r="693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</row>
    <row r="694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</row>
    <row r="695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</row>
    <row r="69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</row>
    <row r="697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</row>
    <row r="698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</row>
    <row r="699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</row>
    <row r="700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</row>
    <row r="701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</row>
    <row r="702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</row>
    <row r="703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</row>
    <row r="704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</row>
    <row r="705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</row>
    <row r="70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</row>
    <row r="707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</row>
    <row r="708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</row>
    <row r="709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</row>
    <row r="710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</row>
    <row r="711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</row>
    <row r="712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</row>
    <row r="713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</row>
    <row r="714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</row>
    <row r="715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</row>
    <row r="71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</row>
    <row r="717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</row>
    <row r="718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</row>
    <row r="719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</row>
    <row r="720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</row>
    <row r="721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</row>
    <row r="722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</row>
    <row r="723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</row>
    <row r="724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</row>
    <row r="725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</row>
    <row r="7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</row>
    <row r="727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</row>
    <row r="728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</row>
    <row r="729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</row>
    <row r="730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</row>
    <row r="731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</row>
    <row r="732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</row>
    <row r="733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</row>
    <row r="734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</row>
    <row r="735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</row>
    <row r="73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</row>
    <row r="737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</row>
    <row r="738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</row>
    <row r="739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</row>
    <row r="740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</row>
    <row r="741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</row>
    <row r="742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</row>
    <row r="743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</row>
    <row r="744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</row>
    <row r="745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</row>
    <row r="74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</row>
    <row r="747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</row>
    <row r="748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</row>
    <row r="749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</row>
    <row r="750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</row>
    <row r="751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</row>
    <row r="752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</row>
    <row r="753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</row>
    <row r="754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</row>
    <row r="755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</row>
    <row r="75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</row>
    <row r="757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</row>
    <row r="758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</row>
    <row r="759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</row>
    <row r="760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</row>
    <row r="761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</row>
    <row r="762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</row>
    <row r="763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</row>
    <row r="764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</row>
    <row r="765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</row>
    <row r="76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</row>
    <row r="767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</row>
    <row r="768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</row>
    <row r="769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</row>
    <row r="770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</row>
    <row r="771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</row>
    <row r="772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</row>
    <row r="773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</row>
    <row r="774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</row>
    <row r="775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</row>
    <row r="77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</row>
    <row r="777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</row>
    <row r="778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</row>
    <row r="779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</row>
    <row r="780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</row>
    <row r="781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</row>
    <row r="782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</row>
    <row r="783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</row>
    <row r="784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</row>
    <row r="785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</row>
    <row r="78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</row>
    <row r="787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</row>
    <row r="788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</row>
    <row r="789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</row>
    <row r="790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</row>
    <row r="791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</row>
    <row r="792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</row>
    <row r="793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</row>
    <row r="794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</row>
    <row r="795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</row>
    <row r="79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</row>
    <row r="797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</row>
    <row r="798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</row>
    <row r="799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</row>
    <row r="800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</row>
    <row r="801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</row>
    <row r="802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</row>
    <row r="803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</row>
    <row r="804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</row>
    <row r="805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</row>
    <row r="80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</row>
    <row r="807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</row>
    <row r="808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</row>
    <row r="809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</row>
    <row r="810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</row>
    <row r="811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</row>
    <row r="812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</row>
    <row r="813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</row>
    <row r="814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</row>
    <row r="815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</row>
    <row r="81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</row>
    <row r="817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</row>
    <row r="818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</row>
    <row r="819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</row>
    <row r="820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</row>
    <row r="821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</row>
    <row r="822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</row>
    <row r="823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</row>
    <row r="824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</row>
    <row r="825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</row>
    <row r="8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</row>
    <row r="827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</row>
    <row r="828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</row>
    <row r="829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</row>
    <row r="830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</row>
    <row r="831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</row>
    <row r="832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</row>
    <row r="833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</row>
    <row r="834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</row>
    <row r="835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</row>
    <row r="83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</row>
    <row r="837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</row>
    <row r="838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</row>
    <row r="839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</row>
    <row r="840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</row>
    <row r="841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</row>
    <row r="842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</row>
    <row r="843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</row>
    <row r="844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</row>
    <row r="845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</row>
    <row r="84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</row>
    <row r="847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</row>
    <row r="848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</row>
    <row r="849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</row>
    <row r="850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</row>
    <row r="851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</row>
    <row r="852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</row>
    <row r="853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</row>
    <row r="854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</row>
    <row r="855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</row>
    <row r="85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</row>
    <row r="857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</row>
    <row r="858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</row>
    <row r="859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</row>
    <row r="860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</row>
    <row r="861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</row>
    <row r="862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</row>
    <row r="863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</row>
    <row r="864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</row>
    <row r="865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</row>
    <row r="86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</row>
    <row r="867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</row>
    <row r="868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</row>
    <row r="869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</row>
    <row r="870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</row>
    <row r="871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</row>
    <row r="872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</row>
    <row r="873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</row>
    <row r="874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</row>
    <row r="875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</row>
    <row r="87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</row>
    <row r="877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</row>
    <row r="878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</row>
    <row r="879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</row>
    <row r="880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</row>
    <row r="881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</row>
    <row r="882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</row>
    <row r="883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</row>
    <row r="884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</row>
    <row r="885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</row>
    <row r="88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</row>
    <row r="887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</row>
    <row r="888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</row>
    <row r="889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</row>
    <row r="890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</row>
    <row r="891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</row>
    <row r="892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</row>
    <row r="893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</row>
    <row r="894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</row>
    <row r="895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</row>
    <row r="89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</row>
    <row r="897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</row>
    <row r="898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</row>
    <row r="899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</row>
    <row r="900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</row>
    <row r="901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</row>
    <row r="902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</row>
    <row r="903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</row>
    <row r="904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</row>
    <row r="905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</row>
    <row r="90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</row>
    <row r="907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</row>
    <row r="908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</row>
    <row r="909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</row>
    <row r="910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</row>
    <row r="911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</row>
    <row r="912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</row>
    <row r="913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</row>
    <row r="914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</row>
    <row r="915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</row>
    <row r="91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</row>
    <row r="917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</row>
    <row r="918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</row>
    <row r="919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</row>
    <row r="920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</row>
    <row r="921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</row>
    <row r="922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</row>
    <row r="923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</row>
    <row r="924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</row>
    <row r="925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</row>
    <row r="9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</row>
    <row r="927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</row>
    <row r="928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</row>
    <row r="929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</row>
    <row r="930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</row>
    <row r="931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</row>
    <row r="932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</row>
    <row r="933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</row>
    <row r="934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</row>
    <row r="935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</row>
    <row r="93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</row>
    <row r="937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</row>
    <row r="938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</row>
    <row r="939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</row>
    <row r="940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</row>
    <row r="941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</row>
    <row r="942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</row>
    <row r="943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</row>
    <row r="944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</row>
    <row r="945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</row>
    <row r="94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</row>
    <row r="947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</row>
    <row r="948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</row>
    <row r="949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</row>
    <row r="950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</row>
    <row r="951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</row>
    <row r="952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</row>
    <row r="953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</row>
    <row r="954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</row>
    <row r="955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</row>
    <row r="95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</row>
    <row r="957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</row>
    <row r="958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</row>
    <row r="959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</row>
    <row r="960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</row>
    <row r="961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</row>
    <row r="962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</row>
    <row r="963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</row>
    <row r="964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</row>
    <row r="965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</row>
    <row r="96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</row>
    <row r="967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</row>
    <row r="968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</row>
    <row r="969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</row>
    <row r="970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</row>
    <row r="971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</row>
    <row r="972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</row>
    <row r="973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</row>
    <row r="974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</row>
    <row r="975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</row>
    <row r="97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</row>
    <row r="977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</row>
    <row r="978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</row>
    <row r="979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</row>
    <row r="980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</row>
    <row r="981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</row>
    <row r="982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</row>
    <row r="983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</row>
    <row r="984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</row>
    <row r="985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</row>
    <row r="98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</row>
    <row r="987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</row>
    <row r="988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</row>
    <row r="989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</row>
    <row r="990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</row>
    <row r="991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</row>
    <row r="992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</row>
    <row r="993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</row>
    <row r="994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</row>
    <row r="995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</row>
    <row r="99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</row>
    <row r="997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</row>
    <row r="998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</row>
    <row r="999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</row>
    <row r="1000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</row>
  </sheetData>
  <mergeCells count="1">
    <mergeCell ref="C99:H100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EABAB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86"/>
    <col customWidth="1" min="2" max="2" width="30.71"/>
    <col customWidth="1" min="3" max="3" width="16.86"/>
    <col customWidth="1" min="4" max="12" width="10.71"/>
    <col customWidth="1" min="13" max="13" width="10.29"/>
    <col customWidth="1" min="14" max="14" width="8.71"/>
    <col customWidth="1" min="15" max="15" width="30.71"/>
    <col customWidth="1" min="16" max="16" width="13.29"/>
    <col customWidth="1" min="17" max="25" width="11.14"/>
    <col customWidth="1" min="26" max="26" width="14.86"/>
    <col customWidth="1" min="27" max="27" width="8.71"/>
    <col customWidth="1" min="28" max="28" width="30.71"/>
    <col customWidth="1" min="29" max="29" width="12.71"/>
    <col customWidth="1" min="30" max="38" width="11.29"/>
    <col customWidth="1" min="39" max="39" width="12.86"/>
    <col customWidth="1" min="40" max="40" width="8.71"/>
    <col customWidth="1" min="41" max="41" width="30.71"/>
    <col customWidth="1" min="42" max="42" width="12.29"/>
    <col customWidth="1" min="43" max="51" width="11.29"/>
    <col customWidth="1" min="52" max="52" width="13.14"/>
  </cols>
  <sheetData>
    <row r="1" ht="15.75" customHeight="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</row>
    <row r="2" ht="15.75" customHeight="1">
      <c r="A2" s="41"/>
      <c r="B2" s="196" t="str">
        <f>Assumptions!B2</f>
        <v>305 e. DANIEL</v>
      </c>
      <c r="C2" s="197"/>
      <c r="D2" s="197"/>
      <c r="E2" s="197"/>
      <c r="F2" s="197"/>
      <c r="G2" s="197"/>
      <c r="H2" s="197"/>
      <c r="I2" s="198"/>
      <c r="J2" s="197"/>
      <c r="K2" s="197"/>
      <c r="L2" s="197"/>
      <c r="M2" s="199"/>
      <c r="N2" s="41"/>
      <c r="O2" s="196" t="str">
        <f>Assumptions!J2</f>
        <v>75 e. ARMORY</v>
      </c>
      <c r="P2" s="197"/>
      <c r="Q2" s="197"/>
      <c r="R2" s="197"/>
      <c r="S2" s="197"/>
      <c r="T2" s="197"/>
      <c r="U2" s="197"/>
      <c r="V2" s="198"/>
      <c r="W2" s="197"/>
      <c r="X2" s="197"/>
      <c r="Y2" s="197"/>
      <c r="Z2" s="199"/>
      <c r="AA2" s="41"/>
      <c r="AB2" s="196" t="str">
        <f>Assumptions!R2</f>
        <v>507 s. SECOND</v>
      </c>
      <c r="AC2" s="197"/>
      <c r="AD2" s="197"/>
      <c r="AE2" s="197"/>
      <c r="AF2" s="197"/>
      <c r="AG2" s="197"/>
      <c r="AH2" s="197"/>
      <c r="AI2" s="198"/>
      <c r="AJ2" s="197"/>
      <c r="AK2" s="197"/>
      <c r="AL2" s="197"/>
      <c r="AM2" s="199"/>
      <c r="AN2" s="41"/>
      <c r="AO2" s="196" t="str">
        <f>Assumptions!Z2</f>
        <v>901 w. WESTERN</v>
      </c>
      <c r="AP2" s="197"/>
      <c r="AQ2" s="197"/>
      <c r="AR2" s="197"/>
      <c r="AS2" s="197"/>
      <c r="AT2" s="197"/>
      <c r="AU2" s="197"/>
      <c r="AV2" s="198"/>
      <c r="AW2" s="197"/>
      <c r="AX2" s="197"/>
      <c r="AY2" s="197"/>
      <c r="AZ2" s="199"/>
    </row>
    <row r="3" ht="15.75" customHeight="1">
      <c r="A3" s="41"/>
      <c r="B3" s="200"/>
      <c r="C3" s="1"/>
      <c r="D3" s="1"/>
      <c r="E3" s="1"/>
      <c r="F3" s="1"/>
      <c r="G3" s="1"/>
      <c r="H3" s="1"/>
      <c r="I3" s="1"/>
      <c r="J3" s="1"/>
      <c r="K3" s="1"/>
      <c r="L3" s="1"/>
      <c r="M3" s="201"/>
      <c r="N3" s="41"/>
      <c r="O3" s="200"/>
      <c r="P3" s="1"/>
      <c r="Q3" s="1"/>
      <c r="R3" s="1"/>
      <c r="S3" s="1"/>
      <c r="T3" s="1"/>
      <c r="U3" s="1"/>
      <c r="V3" s="1"/>
      <c r="W3" s="1"/>
      <c r="X3" s="1"/>
      <c r="Y3" s="1"/>
      <c r="Z3" s="201"/>
      <c r="AA3" s="41"/>
      <c r="AB3" s="200"/>
      <c r="AC3" s="1"/>
      <c r="AD3" s="1"/>
      <c r="AE3" s="1"/>
      <c r="AF3" s="1"/>
      <c r="AG3" s="1"/>
      <c r="AH3" s="1"/>
      <c r="AI3" s="1"/>
      <c r="AJ3" s="1"/>
      <c r="AK3" s="1"/>
      <c r="AL3" s="1"/>
      <c r="AM3" s="201"/>
      <c r="AN3" s="41"/>
      <c r="AO3" s="200"/>
      <c r="AP3" s="1"/>
      <c r="AQ3" s="1"/>
      <c r="AR3" s="1"/>
      <c r="AS3" s="1"/>
      <c r="AT3" s="1"/>
      <c r="AU3" s="1"/>
      <c r="AV3" s="1"/>
      <c r="AW3" s="1"/>
      <c r="AX3" s="1"/>
      <c r="AY3" s="1"/>
      <c r="AZ3" s="201"/>
    </row>
    <row r="4" ht="15.75" customHeight="1">
      <c r="A4" s="41"/>
      <c r="B4" s="202" t="s">
        <v>136</v>
      </c>
      <c r="C4" s="47">
        <v>0.0</v>
      </c>
      <c r="D4" s="47">
        <v>1.0</v>
      </c>
      <c r="E4" s="47">
        <f t="shared" ref="E4:M4" si="1">D4+1</f>
        <v>2</v>
      </c>
      <c r="F4" s="47">
        <f t="shared" si="1"/>
        <v>3</v>
      </c>
      <c r="G4" s="47">
        <f t="shared" si="1"/>
        <v>4</v>
      </c>
      <c r="H4" s="47">
        <f t="shared" si="1"/>
        <v>5</v>
      </c>
      <c r="I4" s="47">
        <f t="shared" si="1"/>
        <v>6</v>
      </c>
      <c r="J4" s="47">
        <f t="shared" si="1"/>
        <v>7</v>
      </c>
      <c r="K4" s="47">
        <f t="shared" si="1"/>
        <v>8</v>
      </c>
      <c r="L4" s="47">
        <f t="shared" si="1"/>
        <v>9</v>
      </c>
      <c r="M4" s="203">
        <f t="shared" si="1"/>
        <v>10</v>
      </c>
      <c r="N4" s="41"/>
      <c r="O4" s="202" t="s">
        <v>136</v>
      </c>
      <c r="P4" s="47">
        <v>0.0</v>
      </c>
      <c r="Q4" s="47">
        <v>1.0</v>
      </c>
      <c r="R4" s="47">
        <f t="shared" ref="R4:Z4" si="2">Q4+1</f>
        <v>2</v>
      </c>
      <c r="S4" s="47">
        <f t="shared" si="2"/>
        <v>3</v>
      </c>
      <c r="T4" s="47">
        <f t="shared" si="2"/>
        <v>4</v>
      </c>
      <c r="U4" s="47">
        <f t="shared" si="2"/>
        <v>5</v>
      </c>
      <c r="V4" s="47">
        <f t="shared" si="2"/>
        <v>6</v>
      </c>
      <c r="W4" s="47">
        <f t="shared" si="2"/>
        <v>7</v>
      </c>
      <c r="X4" s="47">
        <f t="shared" si="2"/>
        <v>8</v>
      </c>
      <c r="Y4" s="47">
        <f t="shared" si="2"/>
        <v>9</v>
      </c>
      <c r="Z4" s="203">
        <f t="shared" si="2"/>
        <v>10</v>
      </c>
      <c r="AA4" s="41"/>
      <c r="AB4" s="202" t="s">
        <v>136</v>
      </c>
      <c r="AC4" s="47">
        <v>0.0</v>
      </c>
      <c r="AD4" s="47">
        <v>1.0</v>
      </c>
      <c r="AE4" s="47">
        <f t="shared" ref="AE4:AM4" si="3">AD4+1</f>
        <v>2</v>
      </c>
      <c r="AF4" s="47">
        <f t="shared" si="3"/>
        <v>3</v>
      </c>
      <c r="AG4" s="47">
        <f t="shared" si="3"/>
        <v>4</v>
      </c>
      <c r="AH4" s="47">
        <f t="shared" si="3"/>
        <v>5</v>
      </c>
      <c r="AI4" s="47">
        <f t="shared" si="3"/>
        <v>6</v>
      </c>
      <c r="AJ4" s="47">
        <f t="shared" si="3"/>
        <v>7</v>
      </c>
      <c r="AK4" s="47">
        <f t="shared" si="3"/>
        <v>8</v>
      </c>
      <c r="AL4" s="47">
        <f t="shared" si="3"/>
        <v>9</v>
      </c>
      <c r="AM4" s="203">
        <f t="shared" si="3"/>
        <v>10</v>
      </c>
      <c r="AN4" s="41"/>
      <c r="AO4" s="202" t="s">
        <v>136</v>
      </c>
      <c r="AP4" s="47">
        <v>0.0</v>
      </c>
      <c r="AQ4" s="47">
        <v>1.0</v>
      </c>
      <c r="AR4" s="47">
        <f t="shared" ref="AR4:AZ4" si="4">AQ4+1</f>
        <v>2</v>
      </c>
      <c r="AS4" s="47">
        <f t="shared" si="4"/>
        <v>3</v>
      </c>
      <c r="AT4" s="47">
        <f t="shared" si="4"/>
        <v>4</v>
      </c>
      <c r="AU4" s="47">
        <f t="shared" si="4"/>
        <v>5</v>
      </c>
      <c r="AV4" s="47">
        <f t="shared" si="4"/>
        <v>6</v>
      </c>
      <c r="AW4" s="47">
        <f t="shared" si="4"/>
        <v>7</v>
      </c>
      <c r="AX4" s="47">
        <f t="shared" si="4"/>
        <v>8</v>
      </c>
      <c r="AY4" s="47">
        <f t="shared" si="4"/>
        <v>9</v>
      </c>
      <c r="AZ4" s="203">
        <f t="shared" si="4"/>
        <v>10</v>
      </c>
    </row>
    <row r="5" ht="15.75" customHeight="1">
      <c r="A5" s="41"/>
      <c r="B5" s="204" t="str">
        <f>'305 e. Daniel'!B4</f>
        <v>Revenue</v>
      </c>
      <c r="C5" s="1"/>
      <c r="D5" s="1"/>
      <c r="E5" s="1"/>
      <c r="F5" s="1"/>
      <c r="G5" s="1"/>
      <c r="H5" s="1"/>
      <c r="I5" s="1"/>
      <c r="J5" s="1"/>
      <c r="K5" s="1"/>
      <c r="L5" s="1"/>
      <c r="M5" s="201"/>
      <c r="N5" s="41"/>
      <c r="O5" s="204" t="str">
        <f>'75 e. Armory'!B4</f>
        <v>Revenue</v>
      </c>
      <c r="P5" s="1"/>
      <c r="Q5" s="1"/>
      <c r="R5" s="1"/>
      <c r="S5" s="1"/>
      <c r="T5" s="1"/>
      <c r="U5" s="1"/>
      <c r="V5" s="1"/>
      <c r="W5" s="1"/>
      <c r="X5" s="1"/>
      <c r="Y5" s="1"/>
      <c r="Z5" s="201"/>
      <c r="AA5" s="41"/>
      <c r="AB5" s="204" t="str">
        <f>O5</f>
        <v>Revenue</v>
      </c>
      <c r="AC5" s="1"/>
      <c r="AD5" s="1"/>
      <c r="AE5" s="1"/>
      <c r="AF5" s="1"/>
      <c r="AG5" s="1"/>
      <c r="AH5" s="1"/>
      <c r="AI5" s="1"/>
      <c r="AJ5" s="1"/>
      <c r="AK5" s="1"/>
      <c r="AL5" s="1"/>
      <c r="AM5" s="201"/>
      <c r="AN5" s="41"/>
      <c r="AO5" s="204" t="str">
        <f>AB5</f>
        <v>Revenue</v>
      </c>
      <c r="AP5" s="1"/>
      <c r="AQ5" s="1"/>
      <c r="AR5" s="1"/>
      <c r="AS5" s="1"/>
      <c r="AT5" s="1"/>
      <c r="AU5" s="1"/>
      <c r="AV5" s="1"/>
      <c r="AW5" s="1"/>
      <c r="AX5" s="1"/>
      <c r="AY5" s="1"/>
      <c r="AZ5" s="201"/>
    </row>
    <row r="6" ht="15.75" customHeight="1">
      <c r="A6" s="41"/>
      <c r="B6" s="200" t="str">
        <f>'305 e. Daniel'!C5</f>
        <v>2x2</v>
      </c>
      <c r="C6" s="1"/>
      <c r="D6" s="54">
        <f>SUMIF('305 e. Daniel'!$D$2:$EE$2,'Proforma Summary'!D$4,'305 e. Daniel'!$D5:$EE5)</f>
        <v>257039.244</v>
      </c>
      <c r="E6" s="54">
        <f>SUMIF('305 e. Daniel'!$D$2:$EE$2,'Proforma Summary'!E$4,'305 e. Daniel'!$D5:$EE5)</f>
        <v>264750.4213</v>
      </c>
      <c r="F6" s="54">
        <f>SUMIF('305 e. Daniel'!$D$2:$EE$2,'Proforma Summary'!F$4,'305 e. Daniel'!$D5:$EE5)</f>
        <v>272692.934</v>
      </c>
      <c r="G6" s="54">
        <f>SUMIF('305 e. Daniel'!$D$2:$EE$2,'Proforma Summary'!G$4,'305 e. Daniel'!$D5:$EE5)</f>
        <v>280873.722</v>
      </c>
      <c r="H6" s="54">
        <f>SUMIF('305 e. Daniel'!$D$2:$EE$2,'Proforma Summary'!H$4,'305 e. Daniel'!$D5:$EE5)</f>
        <v>289299.9336</v>
      </c>
      <c r="I6" s="54">
        <f>SUMIF('305 e. Daniel'!$D$2:$EE$2,'Proforma Summary'!I$4,'305 e. Daniel'!$D5:$EE5)</f>
        <v>297978.9316</v>
      </c>
      <c r="J6" s="54">
        <f>SUMIF('305 e. Daniel'!$D$2:$EE$2,'Proforma Summary'!J$4,'305 e. Daniel'!$D5:$EE5)</f>
        <v>306918.2996</v>
      </c>
      <c r="K6" s="54">
        <f>SUMIF('305 e. Daniel'!$D$2:$EE$2,'Proforma Summary'!K$4,'305 e. Daniel'!$D5:$EE5)</f>
        <v>316125.8486</v>
      </c>
      <c r="L6" s="54">
        <f>SUMIF('305 e. Daniel'!$D$2:$EE$2,'Proforma Summary'!L$4,'305 e. Daniel'!$D5:$EE5)</f>
        <v>325609.624</v>
      </c>
      <c r="M6" s="205">
        <f>SUMIF('305 e. Daniel'!$D$2:$EE$2,'Proforma Summary'!M$4,'305 e. Daniel'!$D5:$EE5)</f>
        <v>335377.9128</v>
      </c>
      <c r="N6" s="41"/>
      <c r="O6" s="200" t="str">
        <f>'75 e. Armory'!C5</f>
        <v>2x2</v>
      </c>
      <c r="P6" s="1"/>
      <c r="Q6" s="54">
        <f>SUMIF('75 e. Armory'!$D$2:$EE$2,'Proforma Summary'!Q$4,'75 e. Armory'!$D5:$EE5)</f>
        <v>890716.176</v>
      </c>
      <c r="R6" s="54">
        <f>SUMIF('75 e. Armory'!$D$2:$EE$2,'Proforma Summary'!R$4,'75 e. Armory'!$D5:$EE5)</f>
        <v>917437.6613</v>
      </c>
      <c r="S6" s="54">
        <f>SUMIF('75 e. Armory'!$D$2:$EE$2,'Proforma Summary'!S$4,'75 e. Armory'!$D5:$EE5)</f>
        <v>944960.7911</v>
      </c>
      <c r="T6" s="54">
        <f>SUMIF('75 e. Armory'!$D$2:$EE$2,'Proforma Summary'!T$4,'75 e. Armory'!$D5:$EE5)</f>
        <v>973309.6149</v>
      </c>
      <c r="U6" s="54">
        <f>SUMIF('75 e. Armory'!$D$2:$EE$2,'Proforma Summary'!U$4,'75 e. Armory'!$D5:$EE5)</f>
        <v>1002508.903</v>
      </c>
      <c r="V6" s="54">
        <f>SUMIF('75 e. Armory'!$D$2:$EE$2,'Proforma Summary'!V$4,'75 e. Armory'!$D5:$EE5)</f>
        <v>1032584.17</v>
      </c>
      <c r="W6" s="54">
        <f>SUMIF('75 e. Armory'!$D$2:$EE$2,'Proforma Summary'!W$4,'75 e. Armory'!$D5:$EE5)</f>
        <v>1063561.696</v>
      </c>
      <c r="X6" s="54">
        <f>SUMIF('75 e. Armory'!$D$2:$EE$2,'Proforma Summary'!X$4,'75 e. Armory'!$D5:$EE5)</f>
        <v>1095468.546</v>
      </c>
      <c r="Y6" s="54">
        <f>SUMIF('75 e. Armory'!$D$2:$EE$2,'Proforma Summary'!Y$4,'75 e. Armory'!$D5:$EE5)</f>
        <v>1128332.603</v>
      </c>
      <c r="Z6" s="205">
        <f>SUMIF('75 e. Armory'!$D$2:$EE$2,'Proforma Summary'!Z$4,'75 e. Armory'!$D5:$EE5)</f>
        <v>1162182.581</v>
      </c>
      <c r="AA6" s="41"/>
      <c r="AB6" s="200" t="str">
        <f>'507 s. Second'!C5</f>
        <v>1x1</v>
      </c>
      <c r="AC6" s="1"/>
      <c r="AD6" s="54">
        <f>SUMIF('507 s. Second'!$D$2:$EE$2,'Proforma Summary'!AD$4,'507 s. Second'!$D5:$EE5)</f>
        <v>237358.296</v>
      </c>
      <c r="AE6" s="54">
        <f>SUMIF('507 s. Second'!$D$2:$EE$2,'Proforma Summary'!AE$4,'507 s. Second'!$D5:$EE5)</f>
        <v>244479.0449</v>
      </c>
      <c r="AF6" s="54">
        <f>SUMIF('507 s. Second'!$D$2:$EE$2,'Proforma Summary'!AF$4,'507 s. Second'!$D5:$EE5)</f>
        <v>251813.4162</v>
      </c>
      <c r="AG6" s="54">
        <f>SUMIF('507 s. Second'!$D$2:$EE$2,'Proforma Summary'!AG$4,'507 s. Second'!$D5:$EE5)</f>
        <v>259367.8187</v>
      </c>
      <c r="AH6" s="54">
        <f>SUMIF('507 s. Second'!$D$2:$EE$2,'Proforma Summary'!AH$4,'507 s. Second'!$D5:$EE5)</f>
        <v>267148.8533</v>
      </c>
      <c r="AI6" s="54">
        <f>SUMIF('507 s. Second'!$D$2:$EE$2,'Proforma Summary'!AI$4,'507 s. Second'!$D5:$EE5)</f>
        <v>275163.3189</v>
      </c>
      <c r="AJ6" s="54">
        <f>SUMIF('507 s. Second'!$D$2:$EE$2,'Proforma Summary'!AJ$4,'507 s. Second'!$D5:$EE5)</f>
        <v>283418.2184</v>
      </c>
      <c r="AK6" s="54">
        <f>SUMIF('507 s. Second'!$D$2:$EE$2,'Proforma Summary'!AK$4,'507 s. Second'!$D5:$EE5)</f>
        <v>291920.765</v>
      </c>
      <c r="AL6" s="54">
        <f>SUMIF('507 s. Second'!$D$2:$EE$2,'Proforma Summary'!AL$4,'507 s. Second'!$D5:$EE5)</f>
        <v>300678.3879</v>
      </c>
      <c r="AM6" s="205">
        <f>SUMIF('507 s. Second'!$D$2:$EE$2,'Proforma Summary'!AM$4,'507 s. Second'!$D5:$EE5)</f>
        <v>309698.7396</v>
      </c>
      <c r="AN6" s="41"/>
      <c r="AO6" s="200" t="str">
        <f>'901 w. Western'!C5</f>
        <v>1x1</v>
      </c>
      <c r="AP6" s="1"/>
      <c r="AQ6" s="54">
        <f>SUMIF('901 w. Western'!$D$2:$EE$2,'Proforma Summary'!AQ$4,'901 w. Western'!$D5:$EE5)</f>
        <v>382032</v>
      </c>
      <c r="AR6" s="54">
        <f>SUMIF('901 w. Western'!$D$2:$EE$2,'Proforma Summary'!AR$4,'901 w. Western'!$D5:$EE5)</f>
        <v>393492.96</v>
      </c>
      <c r="AS6" s="54">
        <f>SUMIF('901 w. Western'!$D$2:$EE$2,'Proforma Summary'!AS$4,'901 w. Western'!$D5:$EE5)</f>
        <v>405297.7488</v>
      </c>
      <c r="AT6" s="54">
        <f>SUMIF('901 w. Western'!$D$2:$EE$2,'Proforma Summary'!AT$4,'901 w. Western'!$D5:$EE5)</f>
        <v>417456.6813</v>
      </c>
      <c r="AU6" s="54">
        <f>SUMIF('901 w. Western'!$D$2:$EE$2,'Proforma Summary'!AU$4,'901 w. Western'!$D5:$EE5)</f>
        <v>429980.3817</v>
      </c>
      <c r="AV6" s="54">
        <f>SUMIF('901 w. Western'!$D$2:$EE$2,'Proforma Summary'!AV$4,'901 w. Western'!$D5:$EE5)</f>
        <v>442879.7932</v>
      </c>
      <c r="AW6" s="54">
        <f>SUMIF('901 w. Western'!$D$2:$EE$2,'Proforma Summary'!AW$4,'901 w. Western'!$D5:$EE5)</f>
        <v>456166.1869</v>
      </c>
      <c r="AX6" s="54">
        <f>SUMIF('901 w. Western'!$D$2:$EE$2,'Proforma Summary'!AX$4,'901 w. Western'!$D5:$EE5)</f>
        <v>469851.1726</v>
      </c>
      <c r="AY6" s="54">
        <f>SUMIF('901 w. Western'!$D$2:$EE$2,'Proforma Summary'!AY$4,'901 w. Western'!$D5:$EE5)</f>
        <v>483946.7077</v>
      </c>
      <c r="AZ6" s="205">
        <f>SUMIF('901 w. Western'!$D$2:$EE$2,'Proforma Summary'!AZ$4,'901 w. Western'!$D5:$EE5)</f>
        <v>498465.109</v>
      </c>
    </row>
    <row r="7" ht="15.75" customHeight="1">
      <c r="A7" s="41"/>
      <c r="B7" s="200" t="str">
        <f>'305 e. Daniel'!C6</f>
        <v>3x3</v>
      </c>
      <c r="C7" s="1"/>
      <c r="D7" s="54">
        <f>SUMIF('305 e. Daniel'!$D$2:$EE$2,'Proforma Summary'!D$4,'305 e. Daniel'!$D6:$EE6)</f>
        <v>149272.2</v>
      </c>
      <c r="E7" s="54">
        <f>SUMIF('305 e. Daniel'!$D$2:$EE$2,'Proforma Summary'!E$4,'305 e. Daniel'!$D6:$EE6)</f>
        <v>153750.366</v>
      </c>
      <c r="F7" s="54">
        <f>SUMIF('305 e. Daniel'!$D$2:$EE$2,'Proforma Summary'!F$4,'305 e. Daniel'!$D6:$EE6)</f>
        <v>158362.877</v>
      </c>
      <c r="G7" s="54">
        <f>SUMIF('305 e. Daniel'!$D$2:$EE$2,'Proforma Summary'!G$4,'305 e. Daniel'!$D6:$EE6)</f>
        <v>163113.7633</v>
      </c>
      <c r="H7" s="54">
        <f>SUMIF('305 e. Daniel'!$D$2:$EE$2,'Proforma Summary'!H$4,'305 e. Daniel'!$D6:$EE6)</f>
        <v>168007.1762</v>
      </c>
      <c r="I7" s="54">
        <f>SUMIF('305 e. Daniel'!$D$2:$EE$2,'Proforma Summary'!I$4,'305 e. Daniel'!$D6:$EE6)</f>
        <v>173047.3915</v>
      </c>
      <c r="J7" s="54">
        <f>SUMIF('305 e. Daniel'!$D$2:$EE$2,'Proforma Summary'!J$4,'305 e. Daniel'!$D6:$EE6)</f>
        <v>178238.8132</v>
      </c>
      <c r="K7" s="54">
        <f>SUMIF('305 e. Daniel'!$D$2:$EE$2,'Proforma Summary'!K$4,'305 e. Daniel'!$D6:$EE6)</f>
        <v>183585.9776</v>
      </c>
      <c r="L7" s="54">
        <f>SUMIF('305 e. Daniel'!$D$2:$EE$2,'Proforma Summary'!L$4,'305 e. Daniel'!$D6:$EE6)</f>
        <v>189093.5569</v>
      </c>
      <c r="M7" s="205">
        <f>SUMIF('305 e. Daniel'!$D$2:$EE$2,'Proforma Summary'!M$4,'305 e. Daniel'!$D6:$EE6)</f>
        <v>194766.3637</v>
      </c>
      <c r="N7" s="41"/>
      <c r="O7" s="200" t="str">
        <f>'75 e. Armory'!C6</f>
        <v>3x2</v>
      </c>
      <c r="P7" s="1"/>
      <c r="Q7" s="54">
        <f>SUMIF('75 e. Armory'!$D$2:$EE$2,'Proforma Summary'!Q$4,'75 e. Armory'!$D6:$EE6)</f>
        <v>268271.136</v>
      </c>
      <c r="R7" s="54">
        <f>SUMIF('75 e. Armory'!$D$2:$EE$2,'Proforma Summary'!R$4,'75 e. Armory'!$D6:$EE6)</f>
        <v>276319.2701</v>
      </c>
      <c r="S7" s="54">
        <f>SUMIF('75 e. Armory'!$D$2:$EE$2,'Proforma Summary'!S$4,'75 e. Armory'!$D6:$EE6)</f>
        <v>284608.8482</v>
      </c>
      <c r="T7" s="54">
        <f>SUMIF('75 e. Armory'!$D$2:$EE$2,'Proforma Summary'!T$4,'75 e. Armory'!$D6:$EE6)</f>
        <v>293147.1136</v>
      </c>
      <c r="U7" s="54">
        <f>SUMIF('75 e. Armory'!$D$2:$EE$2,'Proforma Summary'!U$4,'75 e. Armory'!$D6:$EE6)</f>
        <v>301941.527</v>
      </c>
      <c r="V7" s="54">
        <f>SUMIF('75 e. Armory'!$D$2:$EE$2,'Proforma Summary'!V$4,'75 e. Armory'!$D6:$EE6)</f>
        <v>310999.7728</v>
      </c>
      <c r="W7" s="54">
        <f>SUMIF('75 e. Armory'!$D$2:$EE$2,'Proforma Summary'!W$4,'75 e. Armory'!$D6:$EE6)</f>
        <v>320329.766</v>
      </c>
      <c r="X7" s="54">
        <f>SUMIF('75 e. Armory'!$D$2:$EE$2,'Proforma Summary'!X$4,'75 e. Armory'!$D6:$EE6)</f>
        <v>329939.659</v>
      </c>
      <c r="Y7" s="54">
        <f>SUMIF('75 e. Armory'!$D$2:$EE$2,'Proforma Summary'!Y$4,'75 e. Armory'!$D6:$EE6)</f>
        <v>339837.8488</v>
      </c>
      <c r="Z7" s="205">
        <f>SUMIF('75 e. Armory'!$D$2:$EE$2,'Proforma Summary'!Z$4,'75 e. Armory'!$D6:$EE6)</f>
        <v>350032.9842</v>
      </c>
      <c r="AA7" s="41"/>
      <c r="AB7" s="200" t="str">
        <f>'507 s. Second'!C6</f>
        <v>2x2</v>
      </c>
      <c r="AC7" s="1"/>
      <c r="AD7" s="54">
        <f>SUMIF('507 s. Second'!$D$2:$EE$2,'Proforma Summary'!AD$4,'507 s. Second'!$D6:$EE6)</f>
        <v>199533.6</v>
      </c>
      <c r="AE7" s="54">
        <f>SUMIF('507 s. Second'!$D$2:$EE$2,'Proforma Summary'!AE$4,'507 s. Second'!$D6:$EE6)</f>
        <v>205519.608</v>
      </c>
      <c r="AF7" s="54">
        <f>SUMIF('507 s. Second'!$D$2:$EE$2,'Proforma Summary'!AF$4,'507 s. Second'!$D6:$EE6)</f>
        <v>211685.1962</v>
      </c>
      <c r="AG7" s="54">
        <f>SUMIF('507 s. Second'!$D$2:$EE$2,'Proforma Summary'!AG$4,'507 s. Second'!$D6:$EE6)</f>
        <v>218035.7521</v>
      </c>
      <c r="AH7" s="54">
        <f>SUMIF('507 s. Second'!$D$2:$EE$2,'Proforma Summary'!AH$4,'507 s. Second'!$D6:$EE6)</f>
        <v>224576.8247</v>
      </c>
      <c r="AI7" s="54">
        <f>SUMIF('507 s. Second'!$D$2:$EE$2,'Proforma Summary'!AI$4,'507 s. Second'!$D6:$EE6)</f>
        <v>231314.1294</v>
      </c>
      <c r="AJ7" s="54">
        <f>SUMIF('507 s. Second'!$D$2:$EE$2,'Proforma Summary'!AJ$4,'507 s. Second'!$D6:$EE6)</f>
        <v>238253.5533</v>
      </c>
      <c r="AK7" s="54">
        <f>SUMIF('507 s. Second'!$D$2:$EE$2,'Proforma Summary'!AK$4,'507 s. Second'!$D6:$EE6)</f>
        <v>245401.1599</v>
      </c>
      <c r="AL7" s="54">
        <f>SUMIF('507 s. Second'!$D$2:$EE$2,'Proforma Summary'!AL$4,'507 s. Second'!$D6:$EE6)</f>
        <v>252763.1947</v>
      </c>
      <c r="AM7" s="205">
        <f>SUMIF('507 s. Second'!$D$2:$EE$2,'Proforma Summary'!AM$4,'507 s. Second'!$D6:$EE6)</f>
        <v>260346.0906</v>
      </c>
      <c r="AN7" s="41"/>
      <c r="AO7" s="200" t="str">
        <f>'901 w. Western'!C6</f>
        <v>2x1</v>
      </c>
      <c r="AP7" s="1"/>
      <c r="AQ7" s="54">
        <f>SUMIF('901 w. Western'!$D$2:$EE$2,'Proforma Summary'!AQ$4,'901 w. Western'!$D6:$EE6)</f>
        <v>337075.2</v>
      </c>
      <c r="AR7" s="54">
        <f>SUMIF('901 w. Western'!$D$2:$EE$2,'Proforma Summary'!AR$4,'901 w. Western'!$D6:$EE6)</f>
        <v>347187.456</v>
      </c>
      <c r="AS7" s="54">
        <f>SUMIF('901 w. Western'!$D$2:$EE$2,'Proforma Summary'!AS$4,'901 w. Western'!$D6:$EE6)</f>
        <v>357603.0797</v>
      </c>
      <c r="AT7" s="54">
        <f>SUMIF('901 w. Western'!$D$2:$EE$2,'Proforma Summary'!AT$4,'901 w. Western'!$D6:$EE6)</f>
        <v>368331.1721</v>
      </c>
      <c r="AU7" s="54">
        <f>SUMIF('901 w. Western'!$D$2:$EE$2,'Proforma Summary'!AU$4,'901 w. Western'!$D6:$EE6)</f>
        <v>379381.1072</v>
      </c>
      <c r="AV7" s="54">
        <f>SUMIF('901 w. Western'!$D$2:$EE$2,'Proforma Summary'!AV$4,'901 w. Western'!$D6:$EE6)</f>
        <v>390762.5404</v>
      </c>
      <c r="AW7" s="54">
        <f>SUMIF('901 w. Western'!$D$2:$EE$2,'Proforma Summary'!AW$4,'901 w. Western'!$D6:$EE6)</f>
        <v>402485.4167</v>
      </c>
      <c r="AX7" s="54">
        <f>SUMIF('901 w. Western'!$D$2:$EE$2,'Proforma Summary'!AX$4,'901 w. Western'!$D6:$EE6)</f>
        <v>414559.9792</v>
      </c>
      <c r="AY7" s="54">
        <f>SUMIF('901 w. Western'!$D$2:$EE$2,'Proforma Summary'!AY$4,'901 w. Western'!$D6:$EE6)</f>
        <v>426996.7785</v>
      </c>
      <c r="AZ7" s="205">
        <f>SUMIF('901 w. Western'!$D$2:$EE$2,'Proforma Summary'!AZ$4,'901 w. Western'!$D6:$EE6)</f>
        <v>439806.6819</v>
      </c>
    </row>
    <row r="8" ht="15.75" customHeight="1">
      <c r="A8" s="41"/>
      <c r="B8" s="200" t="str">
        <f>'305 e. Daniel'!C7</f>
        <v>4x3</v>
      </c>
      <c r="C8" s="1"/>
      <c r="D8" s="54">
        <f>SUMIF('305 e. Daniel'!$D$2:$EE$2,'Proforma Summary'!D$4,'305 e. Daniel'!$D7:$EE7)</f>
        <v>230265</v>
      </c>
      <c r="E8" s="54">
        <f>SUMIF('305 e. Daniel'!$D$2:$EE$2,'Proforma Summary'!E$4,'305 e. Daniel'!$D7:$EE7)</f>
        <v>237172.95</v>
      </c>
      <c r="F8" s="54">
        <f>SUMIF('305 e. Daniel'!$D$2:$EE$2,'Proforma Summary'!F$4,'305 e. Daniel'!$D7:$EE7)</f>
        <v>244288.1385</v>
      </c>
      <c r="G8" s="54">
        <f>SUMIF('305 e. Daniel'!$D$2:$EE$2,'Proforma Summary'!G$4,'305 e. Daniel'!$D7:$EE7)</f>
        <v>251616.7827</v>
      </c>
      <c r="H8" s="54">
        <f>SUMIF('305 e. Daniel'!$D$2:$EE$2,'Proforma Summary'!H$4,'305 e. Daniel'!$D7:$EE7)</f>
        <v>259165.2861</v>
      </c>
      <c r="I8" s="54">
        <f>SUMIF('305 e. Daniel'!$D$2:$EE$2,'Proforma Summary'!I$4,'305 e. Daniel'!$D7:$EE7)</f>
        <v>266940.2447</v>
      </c>
      <c r="J8" s="54">
        <f>SUMIF('305 e. Daniel'!$D$2:$EE$2,'Proforma Summary'!J$4,'305 e. Daniel'!$D7:$EE7)</f>
        <v>274948.4521</v>
      </c>
      <c r="K8" s="54">
        <f>SUMIF('305 e. Daniel'!$D$2:$EE$2,'Proforma Summary'!K$4,'305 e. Daniel'!$D7:$EE7)</f>
        <v>283196.9056</v>
      </c>
      <c r="L8" s="54">
        <f>SUMIF('305 e. Daniel'!$D$2:$EE$2,'Proforma Summary'!L$4,'305 e. Daniel'!$D7:$EE7)</f>
        <v>291692.8128</v>
      </c>
      <c r="M8" s="205">
        <f>SUMIF('305 e. Daniel'!$D$2:$EE$2,'Proforma Summary'!M$4,'305 e. Daniel'!$D7:$EE7)</f>
        <v>300443.5972</v>
      </c>
      <c r="N8" s="41"/>
      <c r="O8" s="200" t="str">
        <f>'75 e. Armory'!C7</f>
        <v>3x3</v>
      </c>
      <c r="P8" s="1"/>
      <c r="Q8" s="54">
        <f>SUMIF('75 e. Armory'!$D$2:$EE$2,'Proforma Summary'!Q$4,'75 e. Armory'!$D7:$EE7)</f>
        <v>481301.352</v>
      </c>
      <c r="R8" s="54">
        <f>SUMIF('75 e. Armory'!$D$2:$EE$2,'Proforma Summary'!R$4,'75 e. Armory'!$D7:$EE7)</f>
        <v>495740.3926</v>
      </c>
      <c r="S8" s="54">
        <f>SUMIF('75 e. Armory'!$D$2:$EE$2,'Proforma Summary'!S$4,'75 e. Armory'!$D7:$EE7)</f>
        <v>510612.6043</v>
      </c>
      <c r="T8" s="54">
        <f>SUMIF('75 e. Armory'!$D$2:$EE$2,'Proforma Summary'!T$4,'75 e. Armory'!$D7:$EE7)</f>
        <v>525930.9825</v>
      </c>
      <c r="U8" s="54">
        <f>SUMIF('75 e. Armory'!$D$2:$EE$2,'Proforma Summary'!U$4,'75 e. Armory'!$D7:$EE7)</f>
        <v>541708.9119</v>
      </c>
      <c r="V8" s="54">
        <f>SUMIF('75 e. Armory'!$D$2:$EE$2,'Proforma Summary'!V$4,'75 e. Armory'!$D7:$EE7)</f>
        <v>557960.1793</v>
      </c>
      <c r="W8" s="54">
        <f>SUMIF('75 e. Armory'!$D$2:$EE$2,'Proforma Summary'!W$4,'75 e. Armory'!$D7:$EE7)</f>
        <v>574698.9847</v>
      </c>
      <c r="X8" s="54">
        <f>SUMIF('75 e. Armory'!$D$2:$EE$2,'Proforma Summary'!X$4,'75 e. Armory'!$D7:$EE7)</f>
        <v>591939.9542</v>
      </c>
      <c r="Y8" s="54">
        <f>SUMIF('75 e. Armory'!$D$2:$EE$2,'Proforma Summary'!Y$4,'75 e. Armory'!$D7:$EE7)</f>
        <v>609698.1528</v>
      </c>
      <c r="Z8" s="205">
        <f>SUMIF('75 e. Armory'!$D$2:$EE$2,'Proforma Summary'!Z$4,'75 e. Armory'!$D7:$EE7)</f>
        <v>627989.0974</v>
      </c>
      <c r="AA8" s="41"/>
      <c r="AB8" s="200" t="str">
        <f>'507 s. Second'!C7</f>
        <v>3x2</v>
      </c>
      <c r="AC8" s="1"/>
      <c r="AD8" s="54">
        <f>SUMIF('507 s. Second'!$D$2:$EE$2,'Proforma Summary'!AD$4,'507 s. Second'!$D7:$EE7)</f>
        <v>125013.672</v>
      </c>
      <c r="AE8" s="54">
        <f>SUMIF('507 s. Second'!$D$2:$EE$2,'Proforma Summary'!AE$4,'507 s. Second'!$D7:$EE7)</f>
        <v>128764.0822</v>
      </c>
      <c r="AF8" s="54">
        <f>SUMIF('507 s. Second'!$D$2:$EE$2,'Proforma Summary'!AF$4,'507 s. Second'!$D7:$EE7)</f>
        <v>132627.0046</v>
      </c>
      <c r="AG8" s="54">
        <f>SUMIF('507 s. Second'!$D$2:$EE$2,'Proforma Summary'!AG$4,'507 s. Second'!$D7:$EE7)</f>
        <v>136605.8148</v>
      </c>
      <c r="AH8" s="54">
        <f>SUMIF('507 s. Second'!$D$2:$EE$2,'Proforma Summary'!AH$4,'507 s. Second'!$D7:$EE7)</f>
        <v>140703.9892</v>
      </c>
      <c r="AI8" s="54">
        <f>SUMIF('507 s. Second'!$D$2:$EE$2,'Proforma Summary'!AI$4,'507 s. Second'!$D7:$EE7)</f>
        <v>144925.1089</v>
      </c>
      <c r="AJ8" s="54">
        <f>SUMIF('507 s. Second'!$D$2:$EE$2,'Proforma Summary'!AJ$4,'507 s. Second'!$D7:$EE7)</f>
        <v>149272.8621</v>
      </c>
      <c r="AK8" s="54">
        <f>SUMIF('507 s. Second'!$D$2:$EE$2,'Proforma Summary'!AK$4,'507 s. Second'!$D7:$EE7)</f>
        <v>153751.048</v>
      </c>
      <c r="AL8" s="54">
        <f>SUMIF('507 s. Second'!$D$2:$EE$2,'Proforma Summary'!AL$4,'507 s. Second'!$D7:$EE7)</f>
        <v>158363.5795</v>
      </c>
      <c r="AM8" s="205">
        <f>SUMIF('507 s. Second'!$D$2:$EE$2,'Proforma Summary'!AM$4,'507 s. Second'!$D7:$EE7)</f>
        <v>163114.4868</v>
      </c>
      <c r="AN8" s="41"/>
      <c r="AO8" s="200" t="str">
        <f>'901 w. Western'!C7</f>
        <v>2x2</v>
      </c>
      <c r="AP8" s="1"/>
      <c r="AQ8" s="54">
        <f>SUMIF('901 w. Western'!$D$2:$EE$2,'Proforma Summary'!AQ$4,'901 w. Western'!$D7:$EE7)</f>
        <v>387878.4</v>
      </c>
      <c r="AR8" s="54">
        <f>SUMIF('901 w. Western'!$D$2:$EE$2,'Proforma Summary'!AR$4,'901 w. Western'!$D7:$EE7)</f>
        <v>399514.752</v>
      </c>
      <c r="AS8" s="54">
        <f>SUMIF('901 w. Western'!$D$2:$EE$2,'Proforma Summary'!AS$4,'901 w. Western'!$D7:$EE7)</f>
        <v>411500.1946</v>
      </c>
      <c r="AT8" s="54">
        <f>SUMIF('901 w. Western'!$D$2:$EE$2,'Proforma Summary'!AT$4,'901 w. Western'!$D7:$EE7)</f>
        <v>423845.2004</v>
      </c>
      <c r="AU8" s="54">
        <f>SUMIF('901 w. Western'!$D$2:$EE$2,'Proforma Summary'!AU$4,'901 w. Western'!$D7:$EE7)</f>
        <v>436560.5564</v>
      </c>
      <c r="AV8" s="54">
        <f>SUMIF('901 w. Western'!$D$2:$EE$2,'Proforma Summary'!AV$4,'901 w. Western'!$D7:$EE7)</f>
        <v>449657.3731</v>
      </c>
      <c r="AW8" s="54">
        <f>SUMIF('901 w. Western'!$D$2:$EE$2,'Proforma Summary'!AW$4,'901 w. Western'!$D7:$EE7)</f>
        <v>463147.0943</v>
      </c>
      <c r="AX8" s="54">
        <f>SUMIF('901 w. Western'!$D$2:$EE$2,'Proforma Summary'!AX$4,'901 w. Western'!$D7:$EE7)</f>
        <v>477041.5071</v>
      </c>
      <c r="AY8" s="54">
        <f>SUMIF('901 w. Western'!$D$2:$EE$2,'Proforma Summary'!AY$4,'901 w. Western'!$D7:$EE7)</f>
        <v>491352.7523</v>
      </c>
      <c r="AZ8" s="205">
        <f>SUMIF('901 w. Western'!$D$2:$EE$2,'Proforma Summary'!AZ$4,'901 w. Western'!$D7:$EE7)</f>
        <v>506093.3349</v>
      </c>
    </row>
    <row r="9" ht="15.75" customHeight="1">
      <c r="A9" s="41"/>
      <c r="B9" s="200"/>
      <c r="C9" s="1"/>
      <c r="D9" s="54"/>
      <c r="E9" s="54"/>
      <c r="F9" s="54"/>
      <c r="G9" s="54"/>
      <c r="H9" s="54"/>
      <c r="I9" s="54"/>
      <c r="J9" s="54"/>
      <c r="K9" s="54"/>
      <c r="L9" s="54"/>
      <c r="M9" s="205"/>
      <c r="N9" s="41"/>
      <c r="O9" s="200" t="str">
        <f>'75 e. Armory'!C8</f>
        <v>4x2</v>
      </c>
      <c r="P9" s="1"/>
      <c r="Q9" s="54">
        <f>SUMIF('75 e. Armory'!$D$2:$EE$2,'Proforma Summary'!Q$4,'75 e. Armory'!$D8:$EE8)</f>
        <v>235064.592</v>
      </c>
      <c r="R9" s="54">
        <f>SUMIF('75 e. Armory'!$D$2:$EE$2,'Proforma Summary'!R$4,'75 e. Armory'!$D8:$EE8)</f>
        <v>242116.5298</v>
      </c>
      <c r="S9" s="54">
        <f>SUMIF('75 e. Armory'!$D$2:$EE$2,'Proforma Summary'!S$4,'75 e. Armory'!$D8:$EE8)</f>
        <v>249380.0257</v>
      </c>
      <c r="T9" s="54">
        <f>SUMIF('75 e. Armory'!$D$2:$EE$2,'Proforma Summary'!T$4,'75 e. Armory'!$D8:$EE8)</f>
        <v>256861.4264</v>
      </c>
      <c r="U9" s="54">
        <f>SUMIF('75 e. Armory'!$D$2:$EE$2,'Proforma Summary'!U$4,'75 e. Armory'!$D8:$EE8)</f>
        <v>264567.2692</v>
      </c>
      <c r="V9" s="54">
        <f>SUMIF('75 e. Armory'!$D$2:$EE$2,'Proforma Summary'!V$4,'75 e. Armory'!$D8:$EE8)</f>
        <v>272504.2873</v>
      </c>
      <c r="W9" s="54">
        <f>SUMIF('75 e. Armory'!$D$2:$EE$2,'Proforma Summary'!W$4,'75 e. Armory'!$D8:$EE8)</f>
        <v>280679.4159</v>
      </c>
      <c r="X9" s="54">
        <f>SUMIF('75 e. Armory'!$D$2:$EE$2,'Proforma Summary'!X$4,'75 e. Armory'!$D8:$EE8)</f>
        <v>289099.7984</v>
      </c>
      <c r="Y9" s="54">
        <f>SUMIF('75 e. Armory'!$D$2:$EE$2,'Proforma Summary'!Y$4,'75 e. Armory'!$D8:$EE8)</f>
        <v>297772.7923</v>
      </c>
      <c r="Z9" s="205">
        <f>SUMIF('75 e. Armory'!$D$2:$EE$2,'Proforma Summary'!Z$4,'75 e. Armory'!$D8:$EE8)</f>
        <v>306705.9761</v>
      </c>
      <c r="AA9" s="41"/>
      <c r="AB9" s="200" t="str">
        <f>'507 s. Second'!C8</f>
        <v>3x3</v>
      </c>
      <c r="AC9" s="1"/>
      <c r="AD9" s="54">
        <f>SUMIF('507 s. Second'!$D$2:$EE$2,'Proforma Summary'!AD$4,'507 s. Second'!$D8:$EE8)</f>
        <v>268630.992</v>
      </c>
      <c r="AE9" s="54">
        <f>SUMIF('507 s. Second'!$D$2:$EE$2,'Proforma Summary'!AE$4,'507 s. Second'!$D8:$EE8)</f>
        <v>276689.9218</v>
      </c>
      <c r="AF9" s="54">
        <f>SUMIF('507 s. Second'!$D$2:$EE$2,'Proforma Summary'!AF$4,'507 s. Second'!$D8:$EE8)</f>
        <v>284990.6194</v>
      </c>
      <c r="AG9" s="54">
        <f>SUMIF('507 s. Second'!$D$2:$EE$2,'Proforma Summary'!AG$4,'507 s. Second'!$D8:$EE8)</f>
        <v>293540.338</v>
      </c>
      <c r="AH9" s="54">
        <f>SUMIF('507 s. Second'!$D$2:$EE$2,'Proforma Summary'!AH$4,'507 s. Second'!$D8:$EE8)</f>
        <v>302346.5481</v>
      </c>
      <c r="AI9" s="54">
        <f>SUMIF('507 s. Second'!$D$2:$EE$2,'Proforma Summary'!AI$4,'507 s. Second'!$D8:$EE8)</f>
        <v>311416.9446</v>
      </c>
      <c r="AJ9" s="54">
        <f>SUMIF('507 s. Second'!$D$2:$EE$2,'Proforma Summary'!AJ$4,'507 s. Second'!$D8:$EE8)</f>
        <v>320759.4529</v>
      </c>
      <c r="AK9" s="54">
        <f>SUMIF('507 s. Second'!$D$2:$EE$2,'Proforma Summary'!AK$4,'507 s. Second'!$D8:$EE8)</f>
        <v>330382.2365</v>
      </c>
      <c r="AL9" s="54">
        <f>SUMIF('507 s. Second'!$D$2:$EE$2,'Proforma Summary'!AL$4,'507 s. Second'!$D8:$EE8)</f>
        <v>340293.7036</v>
      </c>
      <c r="AM9" s="205">
        <f>SUMIF('507 s. Second'!$D$2:$EE$2,'Proforma Summary'!AM$4,'507 s. Second'!$D8:$EE8)</f>
        <v>350502.5147</v>
      </c>
      <c r="AN9" s="41"/>
      <c r="AO9" s="200" t="str">
        <f>'901 w. Western'!C8</f>
        <v>3x2</v>
      </c>
      <c r="AP9" s="1"/>
      <c r="AQ9" s="54">
        <f>SUMIF('901 w. Western'!$D$2:$EE$2,'Proforma Summary'!AQ$4,'901 w. Western'!$D8:$EE8)</f>
        <v>510451.2</v>
      </c>
      <c r="AR9" s="54">
        <f>SUMIF('901 w. Western'!$D$2:$EE$2,'Proforma Summary'!AR$4,'901 w. Western'!$D8:$EE8)</f>
        <v>525764.736</v>
      </c>
      <c r="AS9" s="54">
        <f>SUMIF('901 w. Western'!$D$2:$EE$2,'Proforma Summary'!AS$4,'901 w. Western'!$D8:$EE8)</f>
        <v>541537.6781</v>
      </c>
      <c r="AT9" s="54">
        <f>SUMIF('901 w. Western'!$D$2:$EE$2,'Proforma Summary'!AT$4,'901 w. Western'!$D8:$EE8)</f>
        <v>557783.8084</v>
      </c>
      <c r="AU9" s="54">
        <f>SUMIF('901 w. Western'!$D$2:$EE$2,'Proforma Summary'!AU$4,'901 w. Western'!$D8:$EE8)</f>
        <v>574517.3227</v>
      </c>
      <c r="AV9" s="54">
        <f>SUMIF('901 w. Western'!$D$2:$EE$2,'Proforma Summary'!AV$4,'901 w. Western'!$D8:$EE8)</f>
        <v>591752.8424</v>
      </c>
      <c r="AW9" s="54">
        <f>SUMIF('901 w. Western'!$D$2:$EE$2,'Proforma Summary'!AW$4,'901 w. Western'!$D8:$EE8)</f>
        <v>609505.4276</v>
      </c>
      <c r="AX9" s="54">
        <f>SUMIF('901 w. Western'!$D$2:$EE$2,'Proforma Summary'!AX$4,'901 w. Western'!$D8:$EE8)</f>
        <v>627790.5905</v>
      </c>
      <c r="AY9" s="54">
        <f>SUMIF('901 w. Western'!$D$2:$EE$2,'Proforma Summary'!AY$4,'901 w. Western'!$D8:$EE8)</f>
        <v>646624.3082</v>
      </c>
      <c r="AZ9" s="205">
        <f>SUMIF('901 w. Western'!$D$2:$EE$2,'Proforma Summary'!AZ$4,'901 w. Western'!$D8:$EE8)</f>
        <v>666023.0374</v>
      </c>
    </row>
    <row r="10" ht="15.75" customHeight="1">
      <c r="A10" s="41"/>
      <c r="B10" s="200"/>
      <c r="C10" s="1"/>
      <c r="D10" s="54"/>
      <c r="E10" s="54"/>
      <c r="F10" s="54"/>
      <c r="G10" s="54"/>
      <c r="H10" s="54"/>
      <c r="I10" s="54"/>
      <c r="J10" s="54"/>
      <c r="K10" s="54"/>
      <c r="L10" s="54"/>
      <c r="M10" s="205"/>
      <c r="N10" s="41"/>
      <c r="O10" s="200" t="str">
        <f>'75 e. Armory'!C9</f>
        <v>4x3</v>
      </c>
      <c r="P10" s="1"/>
      <c r="Q10" s="54">
        <f>SUMIF('75 e. Armory'!$D$2:$EE$2,'Proforma Summary'!Q$4,'75 e. Armory'!$D9:$EE9)</f>
        <v>329386.176</v>
      </c>
      <c r="R10" s="54">
        <f>SUMIF('75 e. Armory'!$D$2:$EE$2,'Proforma Summary'!R$4,'75 e. Armory'!$D9:$EE9)</f>
        <v>339267.7613</v>
      </c>
      <c r="S10" s="54">
        <f>SUMIF('75 e. Armory'!$D$2:$EE$2,'Proforma Summary'!S$4,'75 e. Armory'!$D9:$EE9)</f>
        <v>349445.7941</v>
      </c>
      <c r="T10" s="54">
        <f>SUMIF('75 e. Armory'!$D$2:$EE$2,'Proforma Summary'!T$4,'75 e. Armory'!$D9:$EE9)</f>
        <v>359929.1679</v>
      </c>
      <c r="U10" s="54">
        <f>SUMIF('75 e. Armory'!$D$2:$EE$2,'Proforma Summary'!U$4,'75 e. Armory'!$D9:$EE9)</f>
        <v>370727.043</v>
      </c>
      <c r="V10" s="54">
        <f>SUMIF('75 e. Armory'!$D$2:$EE$2,'Proforma Summary'!V$4,'75 e. Armory'!$D9:$EE9)</f>
        <v>381848.8543</v>
      </c>
      <c r="W10" s="54">
        <f>SUMIF('75 e. Armory'!$D$2:$EE$2,'Proforma Summary'!W$4,'75 e. Armory'!$D9:$EE9)</f>
        <v>393304.3199</v>
      </c>
      <c r="X10" s="54">
        <f>SUMIF('75 e. Armory'!$D$2:$EE$2,'Proforma Summary'!X$4,'75 e. Armory'!$D9:$EE9)</f>
        <v>405103.4495</v>
      </c>
      <c r="Y10" s="54">
        <f>SUMIF('75 e. Armory'!$D$2:$EE$2,'Proforma Summary'!Y$4,'75 e. Armory'!$D9:$EE9)</f>
        <v>417256.553</v>
      </c>
      <c r="Z10" s="205">
        <f>SUMIF('75 e. Armory'!$D$2:$EE$2,'Proforma Summary'!Z$4,'75 e. Armory'!$D9:$EE9)</f>
        <v>429774.2496</v>
      </c>
      <c r="AA10" s="41"/>
      <c r="AB10" s="200" t="str">
        <f>'507 s. Second'!C9</f>
        <v>4x2</v>
      </c>
      <c r="AC10" s="1"/>
      <c r="AD10" s="54">
        <f>SUMIF('507 s. Second'!$D$2:$EE$2,'Proforma Summary'!AD$4,'507 s. Second'!$D9:$EE9)</f>
        <v>158635.008</v>
      </c>
      <c r="AE10" s="54">
        <f>SUMIF('507 s. Second'!$D$2:$EE$2,'Proforma Summary'!AE$4,'507 s. Second'!$D9:$EE9)</f>
        <v>163394.0582</v>
      </c>
      <c r="AF10" s="54">
        <f>SUMIF('507 s. Second'!$D$2:$EE$2,'Proforma Summary'!AF$4,'507 s. Second'!$D9:$EE9)</f>
        <v>168295.88</v>
      </c>
      <c r="AG10" s="54">
        <f>SUMIF('507 s. Second'!$D$2:$EE$2,'Proforma Summary'!AG$4,'507 s. Second'!$D9:$EE9)</f>
        <v>173344.7564</v>
      </c>
      <c r="AH10" s="54">
        <f>SUMIF('507 s. Second'!$D$2:$EE$2,'Proforma Summary'!AH$4,'507 s. Second'!$D9:$EE9)</f>
        <v>178545.0991</v>
      </c>
      <c r="AI10" s="54">
        <f>SUMIF('507 s. Second'!$D$2:$EE$2,'Proforma Summary'!AI$4,'507 s. Second'!$D9:$EE9)</f>
        <v>183901.4521</v>
      </c>
      <c r="AJ10" s="54">
        <f>SUMIF('507 s. Second'!$D$2:$EE$2,'Proforma Summary'!AJ$4,'507 s. Second'!$D9:$EE9)</f>
        <v>189418.4956</v>
      </c>
      <c r="AK10" s="54">
        <f>SUMIF('507 s. Second'!$D$2:$EE$2,'Proforma Summary'!AK$4,'507 s. Second'!$D9:$EE9)</f>
        <v>195101.0505</v>
      </c>
      <c r="AL10" s="54">
        <f>SUMIF('507 s. Second'!$D$2:$EE$2,'Proforma Summary'!AL$4,'507 s. Second'!$D9:$EE9)</f>
        <v>200954.082</v>
      </c>
      <c r="AM10" s="205">
        <f>SUMIF('507 s. Second'!$D$2:$EE$2,'Proforma Summary'!AM$4,'507 s. Second'!$D9:$EE9)</f>
        <v>206982.7045</v>
      </c>
      <c r="AN10" s="41"/>
      <c r="AO10" s="200" t="str">
        <f>'901 w. Western'!C9</f>
        <v>3x3</v>
      </c>
      <c r="AP10" s="1"/>
      <c r="AQ10" s="54">
        <f>SUMIF('901 w. Western'!$D$2:$EE$2,'Proforma Summary'!AQ$4,'901 w. Western'!$D9:$EE9)</f>
        <v>135626.4</v>
      </c>
      <c r="AR10" s="54">
        <f>SUMIF('901 w. Western'!$D$2:$EE$2,'Proforma Summary'!AR$4,'901 w. Western'!$D9:$EE9)</f>
        <v>139695.192</v>
      </c>
      <c r="AS10" s="54">
        <f>SUMIF('901 w. Western'!$D$2:$EE$2,'Proforma Summary'!AS$4,'901 w. Western'!$D9:$EE9)</f>
        <v>143886.0478</v>
      </c>
      <c r="AT10" s="54">
        <f>SUMIF('901 w. Western'!$D$2:$EE$2,'Proforma Summary'!AT$4,'901 w. Western'!$D9:$EE9)</f>
        <v>148202.6292</v>
      </c>
      <c r="AU10" s="54">
        <f>SUMIF('901 w. Western'!$D$2:$EE$2,'Proforma Summary'!AU$4,'901 w. Western'!$D9:$EE9)</f>
        <v>152648.7081</v>
      </c>
      <c r="AV10" s="54">
        <f>SUMIF('901 w. Western'!$D$2:$EE$2,'Proforma Summary'!AV$4,'901 w. Western'!$D9:$EE9)</f>
        <v>157228.1693</v>
      </c>
      <c r="AW10" s="54">
        <f>SUMIF('901 w. Western'!$D$2:$EE$2,'Proforma Summary'!AW$4,'901 w. Western'!$D9:$EE9)</f>
        <v>161945.0144</v>
      </c>
      <c r="AX10" s="54">
        <f>SUMIF('901 w. Western'!$D$2:$EE$2,'Proforma Summary'!AX$4,'901 w. Western'!$D9:$EE9)</f>
        <v>166803.3648</v>
      </c>
      <c r="AY10" s="54">
        <f>SUMIF('901 w. Western'!$D$2:$EE$2,'Proforma Summary'!AY$4,'901 w. Western'!$D9:$EE9)</f>
        <v>171807.4658</v>
      </c>
      <c r="AZ10" s="205">
        <f>SUMIF('901 w. Western'!$D$2:$EE$2,'Proforma Summary'!AZ$4,'901 w. Western'!$D9:$EE9)</f>
        <v>176961.6897</v>
      </c>
    </row>
    <row r="11" ht="15.75" customHeight="1">
      <c r="A11" s="41"/>
      <c r="B11" s="200"/>
      <c r="C11" s="1"/>
      <c r="D11" s="54"/>
      <c r="E11" s="54"/>
      <c r="F11" s="54"/>
      <c r="G11" s="54"/>
      <c r="H11" s="54"/>
      <c r="I11" s="54"/>
      <c r="J11" s="54"/>
      <c r="K11" s="54"/>
      <c r="L11" s="54"/>
      <c r="M11" s="205"/>
      <c r="N11" s="41"/>
      <c r="O11" s="200"/>
      <c r="P11" s="1"/>
      <c r="Q11" s="54"/>
      <c r="R11" s="54"/>
      <c r="S11" s="54"/>
      <c r="T11" s="54"/>
      <c r="U11" s="54"/>
      <c r="V11" s="54"/>
      <c r="W11" s="54"/>
      <c r="X11" s="54"/>
      <c r="Y11" s="54"/>
      <c r="Z11" s="205"/>
      <c r="AA11" s="41"/>
      <c r="AB11" s="200" t="str">
        <f>'507 s. Second'!C10</f>
        <v>4x3</v>
      </c>
      <c r="AC11" s="1"/>
      <c r="AD11" s="54">
        <f>SUMIF('507 s. Second'!$D$2:$EE$2,'Proforma Summary'!AD$4,'507 s. Second'!$D10:$EE10)</f>
        <v>161078.4</v>
      </c>
      <c r="AE11" s="54">
        <f>SUMIF('507 s. Second'!$D$2:$EE$2,'Proforma Summary'!AE$4,'507 s. Second'!$D10:$EE10)</f>
        <v>165910.752</v>
      </c>
      <c r="AF11" s="54">
        <f>SUMIF('507 s. Second'!$D$2:$EE$2,'Proforma Summary'!AF$4,'507 s. Second'!$D10:$EE10)</f>
        <v>170888.0746</v>
      </c>
      <c r="AG11" s="54">
        <f>SUMIF('507 s. Second'!$D$2:$EE$2,'Proforma Summary'!AG$4,'507 s. Second'!$D10:$EE10)</f>
        <v>176014.7168</v>
      </c>
      <c r="AH11" s="54">
        <f>SUMIF('507 s. Second'!$D$2:$EE$2,'Proforma Summary'!AH$4,'507 s. Second'!$D10:$EE10)</f>
        <v>181295.1583</v>
      </c>
      <c r="AI11" s="54">
        <f>SUMIF('507 s. Second'!$D$2:$EE$2,'Proforma Summary'!AI$4,'507 s. Second'!$D10:$EE10)</f>
        <v>186734.013</v>
      </c>
      <c r="AJ11" s="54">
        <f>SUMIF('507 s. Second'!$D$2:$EE$2,'Proforma Summary'!AJ$4,'507 s. Second'!$D10:$EE10)</f>
        <v>192336.0334</v>
      </c>
      <c r="AK11" s="54">
        <f>SUMIF('507 s. Second'!$D$2:$EE$2,'Proforma Summary'!AK$4,'507 s. Second'!$D10:$EE10)</f>
        <v>198106.1144</v>
      </c>
      <c r="AL11" s="54">
        <f>SUMIF('507 s. Second'!$D$2:$EE$2,'Proforma Summary'!AL$4,'507 s. Second'!$D10:$EE10)</f>
        <v>204049.2979</v>
      </c>
      <c r="AM11" s="205">
        <f>SUMIF('507 s. Second'!$D$2:$EE$2,'Proforma Summary'!AM$4,'507 s. Second'!$D10:$EE10)</f>
        <v>210170.7768</v>
      </c>
      <c r="AN11" s="41"/>
      <c r="AO11" s="200" t="str">
        <f>'901 w. Western'!C10</f>
        <v>4x2</v>
      </c>
      <c r="AP11" s="1"/>
      <c r="AQ11" s="54">
        <f>SUMIF('901 w. Western'!$D$2:$EE$2,'Proforma Summary'!AQ$4,'901 w. Western'!$D10:$EE10)</f>
        <v>154828.8</v>
      </c>
      <c r="AR11" s="54">
        <f>SUMIF('901 w. Western'!$D$2:$EE$2,'Proforma Summary'!AR$4,'901 w. Western'!$D10:$EE10)</f>
        <v>159473.664</v>
      </c>
      <c r="AS11" s="54">
        <f>SUMIF('901 w. Western'!$D$2:$EE$2,'Proforma Summary'!AS$4,'901 w. Western'!$D10:$EE10)</f>
        <v>164257.8739</v>
      </c>
      <c r="AT11" s="54">
        <f>SUMIF('901 w. Western'!$D$2:$EE$2,'Proforma Summary'!AT$4,'901 w. Western'!$D10:$EE10)</f>
        <v>169185.6101</v>
      </c>
      <c r="AU11" s="54">
        <f>SUMIF('901 w. Western'!$D$2:$EE$2,'Proforma Summary'!AU$4,'901 w. Western'!$D10:$EE10)</f>
        <v>174261.1784</v>
      </c>
      <c r="AV11" s="54">
        <f>SUMIF('901 w. Western'!$D$2:$EE$2,'Proforma Summary'!AV$4,'901 w. Western'!$D10:$EE10)</f>
        <v>179489.0138</v>
      </c>
      <c r="AW11" s="54">
        <f>SUMIF('901 w. Western'!$D$2:$EE$2,'Proforma Summary'!AW$4,'901 w. Western'!$D10:$EE10)</f>
        <v>184873.6842</v>
      </c>
      <c r="AX11" s="54">
        <f>SUMIF('901 w. Western'!$D$2:$EE$2,'Proforma Summary'!AX$4,'901 w. Western'!$D10:$EE10)</f>
        <v>190419.8947</v>
      </c>
      <c r="AY11" s="54">
        <f>SUMIF('901 w. Western'!$D$2:$EE$2,'Proforma Summary'!AY$4,'901 w. Western'!$D10:$EE10)</f>
        <v>196132.4916</v>
      </c>
      <c r="AZ11" s="205">
        <f>SUMIF('901 w. Western'!$D$2:$EE$2,'Proforma Summary'!AZ$4,'901 w. Western'!$D10:$EE10)</f>
        <v>202016.4663</v>
      </c>
    </row>
    <row r="12" ht="15.75" customHeight="1">
      <c r="A12" s="41"/>
      <c r="B12" s="200"/>
      <c r="C12" s="1"/>
      <c r="D12" s="54"/>
      <c r="E12" s="54"/>
      <c r="F12" s="54"/>
      <c r="G12" s="54"/>
      <c r="H12" s="54"/>
      <c r="I12" s="54"/>
      <c r="J12" s="54"/>
      <c r="K12" s="54"/>
      <c r="L12" s="54"/>
      <c r="M12" s="205"/>
      <c r="N12" s="41"/>
      <c r="O12" s="200"/>
      <c r="P12" s="1"/>
      <c r="Q12" s="54"/>
      <c r="R12" s="54"/>
      <c r="S12" s="54"/>
      <c r="T12" s="54"/>
      <c r="U12" s="54"/>
      <c r="V12" s="54"/>
      <c r="W12" s="54"/>
      <c r="X12" s="54"/>
      <c r="Y12" s="54"/>
      <c r="Z12" s="205"/>
      <c r="AA12" s="41"/>
      <c r="AB12" s="200" t="str">
        <f>'507 s. Second'!C11</f>
        <v>4x4</v>
      </c>
      <c r="AC12" s="1"/>
      <c r="AD12" s="54">
        <f>SUMIF('507 s. Second'!$D$2:$EE$2,'Proforma Summary'!AD$4,'507 s. Second'!$D11:$EE11)</f>
        <v>168211.008</v>
      </c>
      <c r="AE12" s="54">
        <f>SUMIF('507 s. Second'!$D$2:$EE$2,'Proforma Summary'!AE$4,'507 s. Second'!$D11:$EE11)</f>
        <v>173257.3382</v>
      </c>
      <c r="AF12" s="54">
        <f>SUMIF('507 s. Second'!$D$2:$EE$2,'Proforma Summary'!AF$4,'507 s. Second'!$D11:$EE11)</f>
        <v>178455.0584</v>
      </c>
      <c r="AG12" s="54">
        <f>SUMIF('507 s. Second'!$D$2:$EE$2,'Proforma Summary'!AG$4,'507 s. Second'!$D11:$EE11)</f>
        <v>183808.7101</v>
      </c>
      <c r="AH12" s="54">
        <f>SUMIF('507 s. Second'!$D$2:$EE$2,'Proforma Summary'!AH$4,'507 s. Second'!$D11:$EE11)</f>
        <v>189322.9714</v>
      </c>
      <c r="AI12" s="54">
        <f>SUMIF('507 s. Second'!$D$2:$EE$2,'Proforma Summary'!AI$4,'507 s. Second'!$D11:$EE11)</f>
        <v>195002.6606</v>
      </c>
      <c r="AJ12" s="54">
        <f>SUMIF('507 s. Second'!$D$2:$EE$2,'Proforma Summary'!AJ$4,'507 s. Second'!$D11:$EE11)</f>
        <v>200852.7404</v>
      </c>
      <c r="AK12" s="54">
        <f>SUMIF('507 s. Second'!$D$2:$EE$2,'Proforma Summary'!AK$4,'507 s. Second'!$D11:$EE11)</f>
        <v>206878.3226</v>
      </c>
      <c r="AL12" s="54">
        <f>SUMIF('507 s. Second'!$D$2:$EE$2,'Proforma Summary'!AL$4,'507 s. Second'!$D11:$EE11)</f>
        <v>213084.6723</v>
      </c>
      <c r="AM12" s="205">
        <f>SUMIF('507 s. Second'!$D$2:$EE$2,'Proforma Summary'!AM$4,'507 s. Second'!$D11:$EE11)</f>
        <v>219477.2125</v>
      </c>
      <c r="AN12" s="41"/>
      <c r="AO12" s="200" t="str">
        <f>'901 w. Western'!C11</f>
        <v>4x3</v>
      </c>
      <c r="AP12" s="1"/>
      <c r="AQ12" s="54">
        <f>SUMIF('901 w. Western'!$D$2:$EE$2,'Proforma Summary'!AQ$4,'901 w. Western'!$D11:$EE11)</f>
        <v>327398.4</v>
      </c>
      <c r="AR12" s="54">
        <f>SUMIF('901 w. Western'!$D$2:$EE$2,'Proforma Summary'!AR$4,'901 w. Western'!$D11:$EE11)</f>
        <v>337220.352</v>
      </c>
      <c r="AS12" s="54">
        <f>SUMIF('901 w. Western'!$D$2:$EE$2,'Proforma Summary'!AS$4,'901 w. Western'!$D11:$EE11)</f>
        <v>347336.9626</v>
      </c>
      <c r="AT12" s="54">
        <f>SUMIF('901 w. Western'!$D$2:$EE$2,'Proforma Summary'!AT$4,'901 w. Western'!$D11:$EE11)</f>
        <v>357757.0714</v>
      </c>
      <c r="AU12" s="54">
        <f>SUMIF('901 w. Western'!$D$2:$EE$2,'Proforma Summary'!AU$4,'901 w. Western'!$D11:$EE11)</f>
        <v>368489.7836</v>
      </c>
      <c r="AV12" s="54">
        <f>SUMIF('901 w. Western'!$D$2:$EE$2,'Proforma Summary'!AV$4,'901 w. Western'!$D11:$EE11)</f>
        <v>379544.4771</v>
      </c>
      <c r="AW12" s="54">
        <f>SUMIF('901 w. Western'!$D$2:$EE$2,'Proforma Summary'!AW$4,'901 w. Western'!$D11:$EE11)</f>
        <v>390930.8114</v>
      </c>
      <c r="AX12" s="54">
        <f>SUMIF('901 w. Western'!$D$2:$EE$2,'Proforma Summary'!AX$4,'901 w. Western'!$D11:$EE11)</f>
        <v>402658.7357</v>
      </c>
      <c r="AY12" s="54">
        <f>SUMIF('901 w. Western'!$D$2:$EE$2,'Proforma Summary'!AY$4,'901 w. Western'!$D11:$EE11)</f>
        <v>414738.4978</v>
      </c>
      <c r="AZ12" s="205">
        <f>SUMIF('901 w. Western'!$D$2:$EE$2,'Proforma Summary'!AZ$4,'901 w. Western'!$D11:$EE11)</f>
        <v>427180.6527</v>
      </c>
    </row>
    <row r="13" ht="15.75" customHeight="1">
      <c r="A13" s="41"/>
      <c r="B13" s="206" t="str">
        <f>'305 e. Daniel'!C13</f>
        <v>Total Revenue</v>
      </c>
      <c r="C13" s="6"/>
      <c r="D13" s="207">
        <f>SUMIF('305 e. Daniel'!$D$2:$EE$2,'Proforma Summary'!D$4,'305 e. Daniel'!$D13:$EE13)</f>
        <v>636576.444</v>
      </c>
      <c r="E13" s="207">
        <f>SUMIF('305 e. Daniel'!$D$2:$EE$2,'Proforma Summary'!E$4,'305 e. Daniel'!$D13:$EE13)</f>
        <v>655673.7373</v>
      </c>
      <c r="F13" s="207">
        <f>SUMIF('305 e. Daniel'!$D$2:$EE$2,'Proforma Summary'!F$4,'305 e. Daniel'!$D13:$EE13)</f>
        <v>675343.9494</v>
      </c>
      <c r="G13" s="207">
        <f>SUMIF('305 e. Daniel'!$D$2:$EE$2,'Proforma Summary'!G$4,'305 e. Daniel'!$D13:$EE13)</f>
        <v>695604.2679</v>
      </c>
      <c r="H13" s="207">
        <f>SUMIF('305 e. Daniel'!$D$2:$EE$2,'Proforma Summary'!H$4,'305 e. Daniel'!$D13:$EE13)</f>
        <v>716472.396</v>
      </c>
      <c r="I13" s="207">
        <f>SUMIF('305 e. Daniel'!$D$2:$EE$2,'Proforma Summary'!I$4,'305 e. Daniel'!$D13:$EE13)</f>
        <v>737966.5678</v>
      </c>
      <c r="J13" s="207">
        <f>SUMIF('305 e. Daniel'!$D$2:$EE$2,'Proforma Summary'!J$4,'305 e. Daniel'!$D13:$EE13)</f>
        <v>760105.5649</v>
      </c>
      <c r="K13" s="207">
        <f>SUMIF('305 e. Daniel'!$D$2:$EE$2,'Proforma Summary'!K$4,'305 e. Daniel'!$D13:$EE13)</f>
        <v>782908.7318</v>
      </c>
      <c r="L13" s="207">
        <f>SUMIF('305 e. Daniel'!$D$2:$EE$2,'Proforma Summary'!L$4,'305 e. Daniel'!$D13:$EE13)</f>
        <v>806395.9938</v>
      </c>
      <c r="M13" s="208">
        <f>SUMIF('305 e. Daniel'!$D$2:$EE$2,'Proforma Summary'!M$4,'305 e. Daniel'!$D13:$EE13)</f>
        <v>830587.8736</v>
      </c>
      <c r="N13" s="41"/>
      <c r="O13" s="206" t="str">
        <f>'75 e. Armory'!C13</f>
        <v>Total Revenue</v>
      </c>
      <c r="P13" s="6"/>
      <c r="Q13" s="207">
        <f>SUMIF('75 e. Armory'!$D$2:$EE$2,'Proforma Summary'!Q$4,'75 e. Armory'!$D13:$EE14)</f>
        <v>2204739.432</v>
      </c>
      <c r="R13" s="207">
        <f>SUMIF('75 e. Armory'!$D$2:$EE$2,'Proforma Summary'!R$4,'75 e. Armory'!$D13:$EE14)</f>
        <v>2270881.615</v>
      </c>
      <c r="S13" s="207">
        <f>SUMIF('75 e. Armory'!$D$2:$EE$2,'Proforma Summary'!S$4,'75 e. Armory'!$D13:$EE14)</f>
        <v>2339008.063</v>
      </c>
      <c r="T13" s="207">
        <f>SUMIF('75 e. Armory'!$D$2:$EE$2,'Proforma Summary'!T$4,'75 e. Armory'!$D13:$EE14)</f>
        <v>2409178.305</v>
      </c>
      <c r="U13" s="207">
        <f>SUMIF('75 e. Armory'!$D$2:$EE$2,'Proforma Summary'!U$4,'75 e. Armory'!$D13:$EE14)</f>
        <v>2481453.654</v>
      </c>
      <c r="V13" s="207">
        <f>SUMIF('75 e. Armory'!$D$2:$EE$2,'Proforma Summary'!V$4,'75 e. Armory'!$D13:$EE14)</f>
        <v>2555897.264</v>
      </c>
      <c r="W13" s="207">
        <f>SUMIF('75 e. Armory'!$D$2:$EE$2,'Proforma Summary'!W$4,'75 e. Armory'!$D13:$EE14)</f>
        <v>2632574.182</v>
      </c>
      <c r="X13" s="207">
        <f>SUMIF('75 e. Armory'!$D$2:$EE$2,'Proforma Summary'!X$4,'75 e. Armory'!$D13:$EE14)</f>
        <v>2711551.407</v>
      </c>
      <c r="Y13" s="207">
        <f>SUMIF('75 e. Armory'!$D$2:$EE$2,'Proforma Summary'!Y$4,'75 e. Armory'!$D13:$EE14)</f>
        <v>2792897.95</v>
      </c>
      <c r="Z13" s="208">
        <f>SUMIF('75 e. Armory'!$D$2:$EE$2,'Proforma Summary'!Z$4,'75 e. Armory'!$D13:$EE14)</f>
        <v>2876684.888</v>
      </c>
      <c r="AA13" s="41"/>
      <c r="AB13" s="206" t="str">
        <f>O13</f>
        <v>Total Revenue</v>
      </c>
      <c r="AC13" s="6"/>
      <c r="AD13" s="207">
        <f>SUMIF('507 s. Second'!$D$2:$EE$2,'Proforma Summary'!AD$4,'507 s. Second'!$D$13:$EE$13)</f>
        <v>1318460.976</v>
      </c>
      <c r="AE13" s="207">
        <f>SUMIF('507 s. Second'!$D$2:$EE$2,'Proforma Summary'!AE$4,'507 s. Second'!$D$13:$EE$13)</f>
        <v>1358014.805</v>
      </c>
      <c r="AF13" s="207">
        <f>SUMIF('507 s. Second'!$D$2:$EE$2,'Proforma Summary'!AF$4,'507 s. Second'!$D$13:$EE$13)</f>
        <v>1398755.249</v>
      </c>
      <c r="AG13" s="207">
        <f>SUMIF('507 s. Second'!$D$2:$EE$2,'Proforma Summary'!AG$4,'507 s. Second'!$D$13:$EE$13)</f>
        <v>1440717.907</v>
      </c>
      <c r="AH13" s="207">
        <f>SUMIF('507 s. Second'!$D$2:$EE$2,'Proforma Summary'!AH$4,'507 s. Second'!$D$13:$EE$13)</f>
        <v>1483939.444</v>
      </c>
      <c r="AI13" s="207">
        <f>SUMIF('507 s. Second'!$D$2:$EE$2,'Proforma Summary'!AI$4,'507 s. Second'!$D$13:$EE$13)</f>
        <v>1528457.627</v>
      </c>
      <c r="AJ13" s="207">
        <f>SUMIF('507 s. Second'!$D$2:$EE$2,'Proforma Summary'!AJ$4,'507 s. Second'!$D$13:$EE$13)</f>
        <v>1574311.356</v>
      </c>
      <c r="AK13" s="207">
        <f>SUMIF('507 s. Second'!$D$2:$EE$2,'Proforma Summary'!AK$4,'507 s. Second'!$D$13:$EE$13)</f>
        <v>1621540.697</v>
      </c>
      <c r="AL13" s="207">
        <f>SUMIF('507 s. Second'!$D$2:$EE$2,'Proforma Summary'!AL$4,'507 s. Second'!$D$13:$EE$13)</f>
        <v>1670186.918</v>
      </c>
      <c r="AM13" s="208">
        <f>SUMIF('507 s. Second'!$D$2:$EE$2,'Proforma Summary'!AM$4,'507 s. Second'!$D$13:$EE$13)</f>
        <v>1720292.525</v>
      </c>
      <c r="AN13" s="41"/>
      <c r="AO13" s="206" t="str">
        <f>AB13</f>
        <v>Total Revenue</v>
      </c>
      <c r="AP13" s="6"/>
      <c r="AQ13" s="207">
        <f>SUMIF('901 w. Western'!$D$2:$EE$2,'Proforma Summary'!AQ$4,'901 w. Western'!$D13:$EE13)</f>
        <v>2235290.4</v>
      </c>
      <c r="AR13" s="207">
        <f>SUMIF('901 w. Western'!$D$2:$EE$2,'Proforma Summary'!AR$4,'901 w. Western'!$D13:$EE13)</f>
        <v>2302349.112</v>
      </c>
      <c r="AS13" s="207">
        <f>SUMIF('901 w. Western'!$D$2:$EE$2,'Proforma Summary'!AS$4,'901 w. Western'!$D13:$EE13)</f>
        <v>2371419.585</v>
      </c>
      <c r="AT13" s="207">
        <f>SUMIF('901 w. Western'!$D$2:$EE$2,'Proforma Summary'!AT$4,'901 w. Western'!$D13:$EE13)</f>
        <v>2442562.173</v>
      </c>
      <c r="AU13" s="207">
        <f>SUMIF('901 w. Western'!$D$2:$EE$2,'Proforma Summary'!AU$4,'901 w. Western'!$D13:$EE13)</f>
        <v>2515839.038</v>
      </c>
      <c r="AV13" s="207">
        <f>SUMIF('901 w. Western'!$D$2:$EE$2,'Proforma Summary'!AV$4,'901 w. Western'!$D13:$EE13)</f>
        <v>2591314.209</v>
      </c>
      <c r="AW13" s="207">
        <f>SUMIF('901 w. Western'!$D$2:$EE$2,'Proforma Summary'!AW$4,'901 w. Western'!$D13:$EE13)</f>
        <v>2669053.636</v>
      </c>
      <c r="AX13" s="207">
        <f>SUMIF('901 w. Western'!$D$2:$EE$2,'Proforma Summary'!AX$4,'901 w. Western'!$D13:$EE13)</f>
        <v>2749125.245</v>
      </c>
      <c r="AY13" s="207">
        <f>SUMIF('901 w. Western'!$D$2:$EE$2,'Proforma Summary'!AY$4,'901 w. Western'!$D13:$EE13)</f>
        <v>2831599.002</v>
      </c>
      <c r="AZ13" s="208">
        <f>SUMIF('901 w. Western'!$D$2:$EE$2,'Proforma Summary'!AZ$4,'901 w. Western'!$D13:$EE13)</f>
        <v>2916546.972</v>
      </c>
    </row>
    <row r="14" ht="15.75" customHeight="1">
      <c r="A14" s="41"/>
      <c r="B14" s="200"/>
      <c r="C14" s="1"/>
      <c r="D14" s="54"/>
      <c r="E14" s="54"/>
      <c r="F14" s="54"/>
      <c r="G14" s="54"/>
      <c r="H14" s="54"/>
      <c r="I14" s="54"/>
      <c r="J14" s="54"/>
      <c r="K14" s="54"/>
      <c r="L14" s="54"/>
      <c r="M14" s="205"/>
      <c r="N14" s="41"/>
      <c r="O14" s="200"/>
      <c r="P14" s="1"/>
      <c r="Q14" s="54"/>
      <c r="R14" s="54"/>
      <c r="S14" s="54"/>
      <c r="T14" s="54"/>
      <c r="U14" s="54"/>
      <c r="V14" s="54"/>
      <c r="W14" s="54"/>
      <c r="X14" s="54"/>
      <c r="Y14" s="54"/>
      <c r="Z14" s="205"/>
      <c r="AA14" s="41"/>
      <c r="AB14" s="200"/>
      <c r="AC14" s="1"/>
      <c r="AD14" s="54"/>
      <c r="AE14" s="54"/>
      <c r="AF14" s="54"/>
      <c r="AG14" s="54"/>
      <c r="AH14" s="54"/>
      <c r="AI14" s="54"/>
      <c r="AJ14" s="54"/>
      <c r="AK14" s="54"/>
      <c r="AL14" s="54"/>
      <c r="AM14" s="205"/>
      <c r="AN14" s="41"/>
      <c r="AO14" s="200"/>
      <c r="AP14" s="1"/>
      <c r="AQ14" s="54"/>
      <c r="AR14" s="54"/>
      <c r="AS14" s="54"/>
      <c r="AT14" s="54"/>
      <c r="AU14" s="54"/>
      <c r="AV14" s="54"/>
      <c r="AW14" s="54"/>
      <c r="AX14" s="54"/>
      <c r="AY14" s="54"/>
      <c r="AZ14" s="205"/>
    </row>
    <row r="15" ht="15.75" customHeight="1">
      <c r="A15" s="41"/>
      <c r="B15" s="200" t="str">
        <f>'305 e. Daniel'!C15</f>
        <v>Vacancy</v>
      </c>
      <c r="C15" s="70"/>
      <c r="D15" s="54">
        <f>SUMIF('305 e. Daniel'!$D$2:$EE$2,'Proforma Summary'!D$4,'305 e. Daniel'!$D15:$EE15)</f>
        <v>-31828.8222</v>
      </c>
      <c r="E15" s="54">
        <f>SUMIF('305 e. Daniel'!$D$2:$EE$2,'Proforma Summary'!E$4,'305 e. Daniel'!$D15:$EE15)</f>
        <v>-13113.47475</v>
      </c>
      <c r="F15" s="54">
        <f>SUMIF('305 e. Daniel'!$D$2:$EE$2,'Proforma Summary'!F$4,'305 e. Daniel'!$D15:$EE15)</f>
        <v>-13506.87899</v>
      </c>
      <c r="G15" s="54">
        <f>SUMIF('305 e. Daniel'!$D$2:$EE$2,'Proforma Summary'!G$4,'305 e. Daniel'!$D15:$EE15)</f>
        <v>-13912.08536</v>
      </c>
      <c r="H15" s="54">
        <f>SUMIF('305 e. Daniel'!$D$2:$EE$2,'Proforma Summary'!H$4,'305 e. Daniel'!$D15:$EE15)</f>
        <v>-14329.44792</v>
      </c>
      <c r="I15" s="54">
        <f>SUMIF('305 e. Daniel'!$D$2:$EE$2,'Proforma Summary'!I$4,'305 e. Daniel'!$D15:$EE15)</f>
        <v>-14759.33136</v>
      </c>
      <c r="J15" s="54">
        <f>SUMIF('305 e. Daniel'!$D$2:$EE$2,'Proforma Summary'!J$4,'305 e. Daniel'!$D15:$EE15)</f>
        <v>-15202.1113</v>
      </c>
      <c r="K15" s="54">
        <f>SUMIF('305 e. Daniel'!$D$2:$EE$2,'Proforma Summary'!K$4,'305 e. Daniel'!$D15:$EE15)</f>
        <v>-15658.17464</v>
      </c>
      <c r="L15" s="54">
        <f>SUMIF('305 e. Daniel'!$D$2:$EE$2,'Proforma Summary'!L$4,'305 e. Daniel'!$D15:$EE15)</f>
        <v>-16127.91988</v>
      </c>
      <c r="M15" s="205">
        <f>SUMIF('305 e. Daniel'!$D$2:$EE$2,'Proforma Summary'!M$4,'305 e. Daniel'!$D15:$EE15)</f>
        <v>-16611.75747</v>
      </c>
      <c r="N15" s="41"/>
      <c r="O15" s="200" t="str">
        <f>'75 e. Armory'!C15</f>
        <v>Vacancy</v>
      </c>
      <c r="P15" s="70"/>
      <c r="Q15" s="54">
        <f>SUMIF('75 e. Armory'!$D$2:$EE$2,'Proforma Summary'!Q$4,'75 e. Armory'!$D15:$EE16)</f>
        <v>-110236.9716</v>
      </c>
      <c r="R15" s="54">
        <f>SUMIF('75 e. Armory'!$D$2:$EE$2,'Proforma Summary'!R$4,'75 e. Armory'!$D15:$EE16)</f>
        <v>-45417.6323</v>
      </c>
      <c r="S15" s="54">
        <f>SUMIF('75 e. Armory'!$D$2:$EE$2,'Proforma Summary'!S$4,'75 e. Armory'!$D15:$EE16)</f>
        <v>-46780.16127</v>
      </c>
      <c r="T15" s="54">
        <f>SUMIF('75 e. Armory'!$D$2:$EE$2,'Proforma Summary'!T$4,'75 e. Armory'!$D15:$EE16)</f>
        <v>-48183.56611</v>
      </c>
      <c r="U15" s="54">
        <f>SUMIF('75 e. Armory'!$D$2:$EE$2,'Proforma Summary'!U$4,'75 e. Armory'!$D15:$EE16)</f>
        <v>-49629.07309</v>
      </c>
      <c r="V15" s="54">
        <f>SUMIF('75 e. Armory'!$D$2:$EE$2,'Proforma Summary'!V$4,'75 e. Armory'!$D15:$EE16)</f>
        <v>-51117.94528</v>
      </c>
      <c r="W15" s="54">
        <f>SUMIF('75 e. Armory'!$D$2:$EE$2,'Proforma Summary'!W$4,'75 e. Armory'!$D15:$EE16)</f>
        <v>-52651.48364</v>
      </c>
      <c r="X15" s="54">
        <f>SUMIF('75 e. Armory'!$D$2:$EE$2,'Proforma Summary'!X$4,'75 e. Armory'!$D15:$EE16)</f>
        <v>-54231.02815</v>
      </c>
      <c r="Y15" s="54">
        <f>SUMIF('75 e. Armory'!$D$2:$EE$2,'Proforma Summary'!Y$4,'75 e. Armory'!$D15:$EE16)</f>
        <v>-55857.95899</v>
      </c>
      <c r="Z15" s="205">
        <f>SUMIF('75 e. Armory'!$D$2:$EE$2,'Proforma Summary'!Z$4,'75 e. Armory'!$D15:$EE16)</f>
        <v>-57533.69776</v>
      </c>
      <c r="AA15" s="41"/>
      <c r="AB15" s="200" t="str">
        <f t="shared" ref="AB15:AB21" si="5">O15</f>
        <v>Vacancy</v>
      </c>
      <c r="AC15" s="70"/>
      <c r="AD15" s="54">
        <f>SUMIF('507 s. Second'!$D$2:$EE$2,'Proforma Summary'!AD$4,'507 s. Second'!$D15:$EE15)</f>
        <v>-65923.0488</v>
      </c>
      <c r="AE15" s="54">
        <f>SUMIF('507 s. Second'!$D$2:$EE$2,'Proforma Summary'!AE$4,'507 s. Second'!$D15:$EE15)</f>
        <v>-27160.29611</v>
      </c>
      <c r="AF15" s="54">
        <f>SUMIF('507 s. Second'!$D$2:$EE$2,'Proforma Summary'!AF$4,'507 s. Second'!$D15:$EE15)</f>
        <v>-27975.10499</v>
      </c>
      <c r="AG15" s="54">
        <f>SUMIF('507 s. Second'!$D$2:$EE$2,'Proforma Summary'!AG$4,'507 s. Second'!$D15:$EE15)</f>
        <v>-28814.35814</v>
      </c>
      <c r="AH15" s="54">
        <f>SUMIF('507 s. Second'!$D$2:$EE$2,'Proforma Summary'!AH$4,'507 s. Second'!$D15:$EE15)</f>
        <v>-29678.78888</v>
      </c>
      <c r="AI15" s="54">
        <f>SUMIF('507 s. Second'!$D$2:$EE$2,'Proforma Summary'!AI$4,'507 s. Second'!$D15:$EE15)</f>
        <v>-30569.15255</v>
      </c>
      <c r="AJ15" s="54">
        <f>SUMIF('507 s. Second'!$D$2:$EE$2,'Proforma Summary'!AJ$4,'507 s. Second'!$D15:$EE15)</f>
        <v>-31486.22713</v>
      </c>
      <c r="AK15" s="54">
        <f>SUMIF('507 s. Second'!$D$2:$EE$2,'Proforma Summary'!AK$4,'507 s. Second'!$D15:$EE15)</f>
        <v>-32430.81394</v>
      </c>
      <c r="AL15" s="54">
        <f>SUMIF('507 s. Second'!$D$2:$EE$2,'Proforma Summary'!AL$4,'507 s. Second'!$D15:$EE15)</f>
        <v>-33403.73836</v>
      </c>
      <c r="AM15" s="205">
        <f>SUMIF('507 s. Second'!$D$2:$EE$2,'Proforma Summary'!AM$4,'507 s. Second'!$D15:$EE15)</f>
        <v>-86014.62627</v>
      </c>
      <c r="AN15" s="41"/>
      <c r="AO15" s="200" t="str">
        <f t="shared" ref="AO15:AO21" si="6">AB15</f>
        <v>Vacancy</v>
      </c>
      <c r="AP15" s="70"/>
      <c r="AQ15" s="54">
        <f>SUMIF('901 w. Western'!$D$2:$EE$2,'Proforma Summary'!AQ$4,'901 w. Western'!$D15:$EE15)</f>
        <v>-111764.52</v>
      </c>
      <c r="AR15" s="54">
        <f>SUMIF('901 w. Western'!$D$2:$EE$2,'Proforma Summary'!AR$4,'901 w. Western'!$D15:$EE15)</f>
        <v>-46046.98224</v>
      </c>
      <c r="AS15" s="54">
        <f>SUMIF('901 w. Western'!$D$2:$EE$2,'Proforma Summary'!AS$4,'901 w. Western'!$D15:$EE15)</f>
        <v>-47428.39171</v>
      </c>
      <c r="AT15" s="54">
        <f>SUMIF('901 w. Western'!$D$2:$EE$2,'Proforma Summary'!AT$4,'901 w. Western'!$D15:$EE15)</f>
        <v>-48851.24346</v>
      </c>
      <c r="AU15" s="54">
        <f>SUMIF('901 w. Western'!$D$2:$EE$2,'Proforma Summary'!AU$4,'901 w. Western'!$D15:$EE15)</f>
        <v>-50316.78076</v>
      </c>
      <c r="AV15" s="54">
        <f>SUMIF('901 w. Western'!$D$2:$EE$2,'Proforma Summary'!AV$4,'901 w. Western'!$D15:$EE15)</f>
        <v>-51826.28419</v>
      </c>
      <c r="AW15" s="54">
        <f>SUMIF('901 w. Western'!$D$2:$EE$2,'Proforma Summary'!AW$4,'901 w. Western'!$D15:$EE15)</f>
        <v>-53381.07271</v>
      </c>
      <c r="AX15" s="54">
        <f>SUMIF('901 w. Western'!$D$2:$EE$2,'Proforma Summary'!AX$4,'901 w. Western'!$D15:$EE15)</f>
        <v>-54982.50489</v>
      </c>
      <c r="AY15" s="54">
        <f>SUMIF('901 w. Western'!$D$2:$EE$2,'Proforma Summary'!AY$4,'901 w. Western'!$D15:$EE15)</f>
        <v>-56631.98004</v>
      </c>
      <c r="AZ15" s="205">
        <f>SUMIF('901 w. Western'!$D$2:$EE$2,'Proforma Summary'!AZ$4,'901 w. Western'!$D15:$EE15)</f>
        <v>-145827.3486</v>
      </c>
    </row>
    <row r="16" ht="15.75" customHeight="1">
      <c r="A16" s="41"/>
      <c r="B16" s="200" t="str">
        <f>'305 e. Daniel'!C16</f>
        <v>Bad Debt </v>
      </c>
      <c r="C16" s="1"/>
      <c r="D16" s="54">
        <f>SUMIF('305 e. Daniel'!$D$2:$EE$2,'Proforma Summary'!D$4,'305 e. Daniel'!$D16:$EE16)</f>
        <v>-6365.76444</v>
      </c>
      <c r="E16" s="54">
        <f>SUMIF('305 e. Daniel'!$D$2:$EE$2,'Proforma Summary'!E$4,'305 e. Daniel'!$D16:$EE16)</f>
        <v>-6556.737373</v>
      </c>
      <c r="F16" s="54">
        <f>SUMIF('305 e. Daniel'!$D$2:$EE$2,'Proforma Summary'!F$4,'305 e. Daniel'!$D16:$EE16)</f>
        <v>-6753.439494</v>
      </c>
      <c r="G16" s="54">
        <f>SUMIF('305 e. Daniel'!$D$2:$EE$2,'Proforma Summary'!G$4,'305 e. Daniel'!$D16:$EE16)</f>
        <v>-6956.042679</v>
      </c>
      <c r="H16" s="54">
        <f>SUMIF('305 e. Daniel'!$D$2:$EE$2,'Proforma Summary'!H$4,'305 e. Daniel'!$D16:$EE16)</f>
        <v>-7164.72396</v>
      </c>
      <c r="I16" s="54">
        <f>SUMIF('305 e. Daniel'!$D$2:$EE$2,'Proforma Summary'!I$4,'305 e. Daniel'!$D16:$EE16)</f>
        <v>-7379.665678</v>
      </c>
      <c r="J16" s="54">
        <f>SUMIF('305 e. Daniel'!$D$2:$EE$2,'Proforma Summary'!J$4,'305 e. Daniel'!$D16:$EE16)</f>
        <v>-7601.055649</v>
      </c>
      <c r="K16" s="54">
        <f>SUMIF('305 e. Daniel'!$D$2:$EE$2,'Proforma Summary'!K$4,'305 e. Daniel'!$D16:$EE16)</f>
        <v>-7829.087318</v>
      </c>
      <c r="L16" s="54">
        <f>SUMIF('305 e. Daniel'!$D$2:$EE$2,'Proforma Summary'!L$4,'305 e. Daniel'!$D16:$EE16)</f>
        <v>-8063.959938</v>
      </c>
      <c r="M16" s="205">
        <f>SUMIF('305 e. Daniel'!$D$2:$EE$2,'Proforma Summary'!M$4,'305 e. Daniel'!$D16:$EE16)</f>
        <v>-8305.878736</v>
      </c>
      <c r="N16" s="41"/>
      <c r="O16" s="200" t="str">
        <f>'75 e. Armory'!C16</f>
        <v>Bad Debt </v>
      </c>
      <c r="P16" s="1"/>
      <c r="Q16" s="54">
        <f>SUMIF('75 e. Armory'!$D$2:$EE$2,'Proforma Summary'!Q$4,'75 e. Armory'!$D16:$EE17)</f>
        <v>-22047.39432</v>
      </c>
      <c r="R16" s="54">
        <f>SUMIF('75 e. Armory'!$D$2:$EE$2,'Proforma Summary'!R$4,'75 e. Armory'!$D16:$EE17)</f>
        <v>-22708.81615</v>
      </c>
      <c r="S16" s="54">
        <f>SUMIF('75 e. Armory'!$D$2:$EE$2,'Proforma Summary'!S$4,'75 e. Armory'!$D16:$EE17)</f>
        <v>-23390.08063</v>
      </c>
      <c r="T16" s="54">
        <f>SUMIF('75 e. Armory'!$D$2:$EE$2,'Proforma Summary'!T$4,'75 e. Armory'!$D16:$EE17)</f>
        <v>-24091.78305</v>
      </c>
      <c r="U16" s="54">
        <f>SUMIF('75 e. Armory'!$D$2:$EE$2,'Proforma Summary'!U$4,'75 e. Armory'!$D16:$EE17)</f>
        <v>-24814.53654</v>
      </c>
      <c r="V16" s="54">
        <f>SUMIF('75 e. Armory'!$D$2:$EE$2,'Proforma Summary'!V$4,'75 e. Armory'!$D16:$EE17)</f>
        <v>-25558.97264</v>
      </c>
      <c r="W16" s="54">
        <f>SUMIF('75 e. Armory'!$D$2:$EE$2,'Proforma Summary'!W$4,'75 e. Armory'!$D16:$EE17)</f>
        <v>-26325.74182</v>
      </c>
      <c r="X16" s="54">
        <f>SUMIF('75 e. Armory'!$D$2:$EE$2,'Proforma Summary'!X$4,'75 e. Armory'!$D16:$EE17)</f>
        <v>-27115.51407</v>
      </c>
      <c r="Y16" s="54">
        <f>SUMIF('75 e. Armory'!$D$2:$EE$2,'Proforma Summary'!Y$4,'75 e. Armory'!$D16:$EE17)</f>
        <v>-27928.9795</v>
      </c>
      <c r="Z16" s="205">
        <f>SUMIF('75 e. Armory'!$D$2:$EE$2,'Proforma Summary'!Z$4,'75 e. Armory'!$D16:$EE17)</f>
        <v>-28766.84888</v>
      </c>
      <c r="AA16" s="41"/>
      <c r="AB16" s="200" t="str">
        <f t="shared" si="5"/>
        <v>Bad Debt </v>
      </c>
      <c r="AC16" s="1"/>
      <c r="AD16" s="54">
        <f>SUMIF('507 s. Second'!$D$2:$EE$2,'Proforma Summary'!AD$4,'507 s. Second'!$D16:$EE16)</f>
        <v>-13184.60976</v>
      </c>
      <c r="AE16" s="54">
        <f>SUMIF('507 s. Second'!$D$2:$EE$2,'Proforma Summary'!AE$4,'507 s. Second'!$D16:$EE16)</f>
        <v>-13580.14805</v>
      </c>
      <c r="AF16" s="54">
        <f>SUMIF('507 s. Second'!$D$2:$EE$2,'Proforma Summary'!AF$4,'507 s. Second'!$D16:$EE16)</f>
        <v>-13987.55249</v>
      </c>
      <c r="AG16" s="54">
        <f>SUMIF('507 s. Second'!$D$2:$EE$2,'Proforma Summary'!AG$4,'507 s. Second'!$D16:$EE16)</f>
        <v>-14407.17907</v>
      </c>
      <c r="AH16" s="54">
        <f>SUMIF('507 s. Second'!$D$2:$EE$2,'Proforma Summary'!AH$4,'507 s. Second'!$D16:$EE16)</f>
        <v>-14839.39444</v>
      </c>
      <c r="AI16" s="54">
        <f>SUMIF('507 s. Second'!$D$2:$EE$2,'Proforma Summary'!AI$4,'507 s. Second'!$D16:$EE16)</f>
        <v>-15284.57627</v>
      </c>
      <c r="AJ16" s="54">
        <f>SUMIF('507 s. Second'!$D$2:$EE$2,'Proforma Summary'!AJ$4,'507 s. Second'!$D16:$EE16)</f>
        <v>-15743.11356</v>
      </c>
      <c r="AK16" s="54">
        <f>SUMIF('507 s. Second'!$D$2:$EE$2,'Proforma Summary'!AK$4,'507 s. Second'!$D16:$EE16)</f>
        <v>-16215.40697</v>
      </c>
      <c r="AL16" s="54">
        <f>SUMIF('507 s. Second'!$D$2:$EE$2,'Proforma Summary'!AL$4,'507 s. Second'!$D16:$EE16)</f>
        <v>-16701.86918</v>
      </c>
      <c r="AM16" s="205">
        <f>SUMIF('507 s. Second'!$D$2:$EE$2,'Proforma Summary'!AM$4,'507 s. Second'!$D16:$EE16)</f>
        <v>-17202.92525</v>
      </c>
      <c r="AN16" s="41"/>
      <c r="AO16" s="200" t="str">
        <f t="shared" si="6"/>
        <v>Bad Debt </v>
      </c>
      <c r="AP16" s="1"/>
      <c r="AQ16" s="54">
        <f>SUMIF('901 w. Western'!$D$2:$EE$2,'Proforma Summary'!AQ$4,'901 w. Western'!$D16:$EE16)</f>
        <v>-22352.904</v>
      </c>
      <c r="AR16" s="54">
        <f>SUMIF('901 w. Western'!$D$2:$EE$2,'Proforma Summary'!AR$4,'901 w. Western'!$D16:$EE16)</f>
        <v>-23023.49112</v>
      </c>
      <c r="AS16" s="54">
        <f>SUMIF('901 w. Western'!$D$2:$EE$2,'Proforma Summary'!AS$4,'901 w. Western'!$D16:$EE16)</f>
        <v>-23714.19585</v>
      </c>
      <c r="AT16" s="54">
        <f>SUMIF('901 w. Western'!$D$2:$EE$2,'Proforma Summary'!AT$4,'901 w. Western'!$D16:$EE16)</f>
        <v>-24425.62173</v>
      </c>
      <c r="AU16" s="54">
        <f>SUMIF('901 w. Western'!$D$2:$EE$2,'Proforma Summary'!AU$4,'901 w. Western'!$D16:$EE16)</f>
        <v>-25158.39038</v>
      </c>
      <c r="AV16" s="54">
        <f>SUMIF('901 w. Western'!$D$2:$EE$2,'Proforma Summary'!AV$4,'901 w. Western'!$D16:$EE16)</f>
        <v>-25913.14209</v>
      </c>
      <c r="AW16" s="54">
        <f>SUMIF('901 w. Western'!$D$2:$EE$2,'Proforma Summary'!AW$4,'901 w. Western'!$D16:$EE16)</f>
        <v>-26690.53636</v>
      </c>
      <c r="AX16" s="54">
        <f>SUMIF('901 w. Western'!$D$2:$EE$2,'Proforma Summary'!AX$4,'901 w. Western'!$D16:$EE16)</f>
        <v>-27491.25245</v>
      </c>
      <c r="AY16" s="54">
        <f>SUMIF('901 w. Western'!$D$2:$EE$2,'Proforma Summary'!AY$4,'901 w. Western'!$D16:$EE16)</f>
        <v>-28315.99002</v>
      </c>
      <c r="AZ16" s="205">
        <f>SUMIF('901 w. Western'!$D$2:$EE$2,'Proforma Summary'!AZ$4,'901 w. Western'!$D16:$EE16)</f>
        <v>-29165.46972</v>
      </c>
    </row>
    <row r="17" ht="15.75" customHeight="1">
      <c r="A17" s="41"/>
      <c r="B17" s="200" t="str">
        <f>'305 e. Daniel'!C17</f>
        <v>Concession</v>
      </c>
      <c r="C17" s="1"/>
      <c r="D17" s="54">
        <f>SUMIF('305 e. Daniel'!$D$2:$EE$2,'Proforma Summary'!D$4,'305 e. Daniel'!$D17:$EE17)</f>
        <v>-6365.76444</v>
      </c>
      <c r="E17" s="54">
        <f>SUMIF('305 e. Daniel'!$D$2:$EE$2,'Proforma Summary'!E$4,'305 e. Daniel'!$D17:$EE17)</f>
        <v>-6556.737373</v>
      </c>
      <c r="F17" s="54">
        <f>SUMIF('305 e. Daniel'!$D$2:$EE$2,'Proforma Summary'!F$4,'305 e. Daniel'!$D17:$EE17)</f>
        <v>-6753.439494</v>
      </c>
      <c r="G17" s="54">
        <f>SUMIF('305 e. Daniel'!$D$2:$EE$2,'Proforma Summary'!G$4,'305 e. Daniel'!$D17:$EE17)</f>
        <v>-6956.042679</v>
      </c>
      <c r="H17" s="54">
        <f>SUMIF('305 e. Daniel'!$D$2:$EE$2,'Proforma Summary'!H$4,'305 e. Daniel'!$D17:$EE17)</f>
        <v>-7164.72396</v>
      </c>
      <c r="I17" s="54">
        <f>SUMIF('305 e. Daniel'!$D$2:$EE$2,'Proforma Summary'!I$4,'305 e. Daniel'!$D17:$EE17)</f>
        <v>-7379.665678</v>
      </c>
      <c r="J17" s="54">
        <f>SUMIF('305 e. Daniel'!$D$2:$EE$2,'Proforma Summary'!J$4,'305 e. Daniel'!$D17:$EE17)</f>
        <v>-7601.055649</v>
      </c>
      <c r="K17" s="54">
        <f>SUMIF('305 e. Daniel'!$D$2:$EE$2,'Proforma Summary'!K$4,'305 e. Daniel'!$D17:$EE17)</f>
        <v>-7829.087318</v>
      </c>
      <c r="L17" s="54">
        <f>SUMIF('305 e. Daniel'!$D$2:$EE$2,'Proforma Summary'!L$4,'305 e. Daniel'!$D17:$EE17)</f>
        <v>-8063.959938</v>
      </c>
      <c r="M17" s="205">
        <f>SUMIF('305 e. Daniel'!$D$2:$EE$2,'Proforma Summary'!M$4,'305 e. Daniel'!$D17:$EE17)</f>
        <v>-8305.878736</v>
      </c>
      <c r="N17" s="41"/>
      <c r="O17" s="200" t="str">
        <f>'75 e. Armory'!C17</f>
        <v>Concession</v>
      </c>
      <c r="P17" s="1"/>
      <c r="Q17" s="54">
        <f>SUMIF('75 e. Armory'!$D$2:$EE$2,'Proforma Summary'!Q$4,'75 e. Armory'!$D17:$EE18)</f>
        <v>-22047.39432</v>
      </c>
      <c r="R17" s="54">
        <f>SUMIF('75 e. Armory'!$D$2:$EE$2,'Proforma Summary'!R$4,'75 e. Armory'!$D17:$EE18)</f>
        <v>-22708.81615</v>
      </c>
      <c r="S17" s="54">
        <f>SUMIF('75 e. Armory'!$D$2:$EE$2,'Proforma Summary'!S$4,'75 e. Armory'!$D17:$EE18)</f>
        <v>-23390.08063</v>
      </c>
      <c r="T17" s="54">
        <f>SUMIF('75 e. Armory'!$D$2:$EE$2,'Proforma Summary'!T$4,'75 e. Armory'!$D17:$EE18)</f>
        <v>-24091.78305</v>
      </c>
      <c r="U17" s="54">
        <f>SUMIF('75 e. Armory'!$D$2:$EE$2,'Proforma Summary'!U$4,'75 e. Armory'!$D17:$EE18)</f>
        <v>-24814.53654</v>
      </c>
      <c r="V17" s="54">
        <f>SUMIF('75 e. Armory'!$D$2:$EE$2,'Proforma Summary'!V$4,'75 e. Armory'!$D17:$EE18)</f>
        <v>-25558.97264</v>
      </c>
      <c r="W17" s="54">
        <f>SUMIF('75 e. Armory'!$D$2:$EE$2,'Proforma Summary'!W$4,'75 e. Armory'!$D17:$EE18)</f>
        <v>-26325.74182</v>
      </c>
      <c r="X17" s="54">
        <f>SUMIF('75 e. Armory'!$D$2:$EE$2,'Proforma Summary'!X$4,'75 e. Armory'!$D17:$EE18)</f>
        <v>-27115.51407</v>
      </c>
      <c r="Y17" s="54">
        <f>SUMIF('75 e. Armory'!$D$2:$EE$2,'Proforma Summary'!Y$4,'75 e. Armory'!$D17:$EE18)</f>
        <v>-27928.9795</v>
      </c>
      <c r="Z17" s="205">
        <f>SUMIF('75 e. Armory'!$D$2:$EE$2,'Proforma Summary'!Z$4,'75 e. Armory'!$D17:$EE18)</f>
        <v>-28766.84888</v>
      </c>
      <c r="AA17" s="41"/>
      <c r="AB17" s="200" t="str">
        <f t="shared" si="5"/>
        <v>Concession</v>
      </c>
      <c r="AC17" s="1"/>
      <c r="AD17" s="54">
        <f>SUMIF('507 s. Second'!$D$2:$EE$2,'Proforma Summary'!AD$4,'507 s. Second'!$D17:$EE17)</f>
        <v>-13184.60976</v>
      </c>
      <c r="AE17" s="54">
        <f>SUMIF('507 s. Second'!$D$2:$EE$2,'Proforma Summary'!AE$4,'507 s. Second'!$D17:$EE17)</f>
        <v>-13580.14805</v>
      </c>
      <c r="AF17" s="54">
        <f>SUMIF('507 s. Second'!$D$2:$EE$2,'Proforma Summary'!AF$4,'507 s. Second'!$D17:$EE17)</f>
        <v>-13987.55249</v>
      </c>
      <c r="AG17" s="54">
        <f>SUMIF('507 s. Second'!$D$2:$EE$2,'Proforma Summary'!AG$4,'507 s. Second'!$D17:$EE17)</f>
        <v>-14407.17907</v>
      </c>
      <c r="AH17" s="54">
        <f>SUMIF('507 s. Second'!$D$2:$EE$2,'Proforma Summary'!AH$4,'507 s. Second'!$D17:$EE17)</f>
        <v>-14839.39444</v>
      </c>
      <c r="AI17" s="54">
        <f>SUMIF('507 s. Second'!$D$2:$EE$2,'Proforma Summary'!AI$4,'507 s. Second'!$D17:$EE17)</f>
        <v>-15284.57627</v>
      </c>
      <c r="AJ17" s="54">
        <f>SUMIF('507 s. Second'!$D$2:$EE$2,'Proforma Summary'!AJ$4,'507 s. Second'!$D17:$EE17)</f>
        <v>-15743.11356</v>
      </c>
      <c r="AK17" s="54">
        <f>SUMIF('507 s. Second'!$D$2:$EE$2,'Proforma Summary'!AK$4,'507 s. Second'!$D17:$EE17)</f>
        <v>-16215.40697</v>
      </c>
      <c r="AL17" s="54">
        <f>SUMIF('507 s. Second'!$D$2:$EE$2,'Proforma Summary'!AL$4,'507 s. Second'!$D17:$EE17)</f>
        <v>-16701.86918</v>
      </c>
      <c r="AM17" s="205">
        <f>SUMIF('507 s. Second'!$D$2:$EE$2,'Proforma Summary'!AM$4,'507 s. Second'!$D17:$EE17)</f>
        <v>-17202.92525</v>
      </c>
      <c r="AN17" s="41"/>
      <c r="AO17" s="200" t="str">
        <f t="shared" si="6"/>
        <v>Concession</v>
      </c>
      <c r="AP17" s="1"/>
      <c r="AQ17" s="54">
        <f>SUMIF('901 w. Western'!$D$2:$EE$2,'Proforma Summary'!AQ$4,'901 w. Western'!$D17:$EE17)</f>
        <v>-22352.904</v>
      </c>
      <c r="AR17" s="54">
        <f>SUMIF('901 w. Western'!$D$2:$EE$2,'Proforma Summary'!AR$4,'901 w. Western'!$D17:$EE17)</f>
        <v>-23023.49112</v>
      </c>
      <c r="AS17" s="54">
        <f>SUMIF('901 w. Western'!$D$2:$EE$2,'Proforma Summary'!AS$4,'901 w. Western'!$D17:$EE17)</f>
        <v>-23714.19585</v>
      </c>
      <c r="AT17" s="54">
        <f>SUMIF('901 w. Western'!$D$2:$EE$2,'Proforma Summary'!AT$4,'901 w. Western'!$D17:$EE17)</f>
        <v>-24425.62173</v>
      </c>
      <c r="AU17" s="54">
        <f>SUMIF('901 w. Western'!$D$2:$EE$2,'Proforma Summary'!AU$4,'901 w. Western'!$D17:$EE17)</f>
        <v>-25158.39038</v>
      </c>
      <c r="AV17" s="54">
        <f>SUMIF('901 w. Western'!$D$2:$EE$2,'Proforma Summary'!AV$4,'901 w. Western'!$D17:$EE17)</f>
        <v>-25913.14209</v>
      </c>
      <c r="AW17" s="54">
        <f>SUMIF('901 w. Western'!$D$2:$EE$2,'Proforma Summary'!AW$4,'901 w. Western'!$D17:$EE17)</f>
        <v>-26690.53636</v>
      </c>
      <c r="AX17" s="54">
        <f>SUMIF('901 w. Western'!$D$2:$EE$2,'Proforma Summary'!AX$4,'901 w. Western'!$D17:$EE17)</f>
        <v>-27491.25245</v>
      </c>
      <c r="AY17" s="54">
        <f>SUMIF('901 w. Western'!$D$2:$EE$2,'Proforma Summary'!AY$4,'901 w. Western'!$D17:$EE17)</f>
        <v>-28315.99002</v>
      </c>
      <c r="AZ17" s="205">
        <f>SUMIF('901 w. Western'!$D$2:$EE$2,'Proforma Summary'!AZ$4,'901 w. Western'!$D17:$EE17)</f>
        <v>-29165.46972</v>
      </c>
    </row>
    <row r="18" ht="15.75" customHeight="1">
      <c r="A18" s="41"/>
      <c r="B18" s="206" t="str">
        <f>'305 e. Daniel'!C18</f>
        <v>Effective Gross Income</v>
      </c>
      <c r="C18" s="63"/>
      <c r="D18" s="207">
        <f>SUMIF('305 e. Daniel'!$D$2:$EE$2,'Proforma Summary'!D$4,'305 e. Daniel'!$D18:$EE18)</f>
        <v>592016.0929</v>
      </c>
      <c r="E18" s="207">
        <f>SUMIF('305 e. Daniel'!$D$2:$EE$2,'Proforma Summary'!E$4,'305 e. Daniel'!$D18:$EE18)</f>
        <v>629446.7878</v>
      </c>
      <c r="F18" s="207">
        <f>SUMIF('305 e. Daniel'!$D$2:$EE$2,'Proforma Summary'!F$4,'305 e. Daniel'!$D18:$EE18)</f>
        <v>648330.1915</v>
      </c>
      <c r="G18" s="207">
        <f>SUMIF('305 e. Daniel'!$D$2:$EE$2,'Proforma Summary'!G$4,'305 e. Daniel'!$D18:$EE18)</f>
        <v>667780.0972</v>
      </c>
      <c r="H18" s="207">
        <f>SUMIF('305 e. Daniel'!$D$2:$EE$2,'Proforma Summary'!H$4,'305 e. Daniel'!$D18:$EE18)</f>
        <v>687813.5001</v>
      </c>
      <c r="I18" s="207">
        <f>SUMIF('305 e. Daniel'!$D$2:$EE$2,'Proforma Summary'!I$4,'305 e. Daniel'!$D18:$EE18)</f>
        <v>708447.9051</v>
      </c>
      <c r="J18" s="207">
        <f>SUMIF('305 e. Daniel'!$D$2:$EE$2,'Proforma Summary'!J$4,'305 e. Daniel'!$D18:$EE18)</f>
        <v>729701.3423</v>
      </c>
      <c r="K18" s="207">
        <f>SUMIF('305 e. Daniel'!$D$2:$EE$2,'Proforma Summary'!K$4,'305 e. Daniel'!$D18:$EE18)</f>
        <v>751592.3825</v>
      </c>
      <c r="L18" s="207">
        <f>SUMIF('305 e. Daniel'!$D$2:$EE$2,'Proforma Summary'!L$4,'305 e. Daniel'!$D18:$EE18)</f>
        <v>774140.154</v>
      </c>
      <c r="M18" s="208">
        <f>SUMIF('305 e. Daniel'!$D$2:$EE$2,'Proforma Summary'!M$4,'305 e. Daniel'!$D18:$EE18)</f>
        <v>797364.3586</v>
      </c>
      <c r="N18" s="41"/>
      <c r="O18" s="206" t="str">
        <f>'75 e. Armory'!C18</f>
        <v>Effective Gross Income</v>
      </c>
      <c r="P18" s="63"/>
      <c r="Q18" s="207">
        <f>SUMIF('75 e. Armory'!$D$2:$EE$2,'Proforma Summary'!Q$4,'75 e. Armory'!$D18:$EE19)</f>
        <v>2050407.672</v>
      </c>
      <c r="R18" s="207">
        <f>SUMIF('75 e. Armory'!$D$2:$EE$2,'Proforma Summary'!R$4,'75 e. Armory'!$D18:$EE19)</f>
        <v>2180046.35</v>
      </c>
      <c r="S18" s="207">
        <f>SUMIF('75 e. Armory'!$D$2:$EE$2,'Proforma Summary'!S$4,'75 e. Armory'!$D18:$EE19)</f>
        <v>2245447.741</v>
      </c>
      <c r="T18" s="207">
        <f>SUMIF('75 e. Armory'!$D$2:$EE$2,'Proforma Summary'!T$4,'75 e. Armory'!$D18:$EE19)</f>
        <v>2312811.173</v>
      </c>
      <c r="U18" s="207">
        <f>SUMIF('75 e. Armory'!$D$2:$EE$2,'Proforma Summary'!U$4,'75 e. Armory'!$D18:$EE19)</f>
        <v>2382195.508</v>
      </c>
      <c r="V18" s="207">
        <f>SUMIF('75 e. Armory'!$D$2:$EE$2,'Proforma Summary'!V$4,'75 e. Armory'!$D18:$EE19)</f>
        <v>2453661.374</v>
      </c>
      <c r="W18" s="207">
        <f>SUMIF('75 e. Armory'!$D$2:$EE$2,'Proforma Summary'!W$4,'75 e. Armory'!$D18:$EE19)</f>
        <v>2527271.215</v>
      </c>
      <c r="X18" s="207">
        <f>SUMIF('75 e. Armory'!$D$2:$EE$2,'Proforma Summary'!X$4,'75 e. Armory'!$D18:$EE19)</f>
        <v>2603089.351</v>
      </c>
      <c r="Y18" s="207">
        <f>SUMIF('75 e. Armory'!$D$2:$EE$2,'Proforma Summary'!Y$4,'75 e. Armory'!$D18:$EE19)</f>
        <v>2681182.032</v>
      </c>
      <c r="Z18" s="208">
        <f>SUMIF('75 e. Armory'!$D$2:$EE$2,'Proforma Summary'!Z$4,'75 e. Armory'!$D18:$EE19)</f>
        <v>2761617.493</v>
      </c>
      <c r="AA18" s="41"/>
      <c r="AB18" s="206" t="str">
        <f t="shared" si="5"/>
        <v>Effective Gross Income</v>
      </c>
      <c r="AC18" s="63"/>
      <c r="AD18" s="209">
        <f>SUMIF('507 s. Second'!$D$2:$EE$2,'Proforma Summary'!AD$4,'507 s. Second'!$D18:$EE18)</f>
        <v>1226168.708</v>
      </c>
      <c r="AE18" s="209">
        <f>SUMIF('507 s. Second'!$D$2:$EE$2,'Proforma Summary'!AE$4,'507 s. Second'!$D18:$EE18)</f>
        <v>1303694.213</v>
      </c>
      <c r="AF18" s="209">
        <f>SUMIF('507 s. Second'!$D$2:$EE$2,'Proforma Summary'!AF$4,'507 s. Second'!$D18:$EE18)</f>
        <v>1342805.039</v>
      </c>
      <c r="AG18" s="209">
        <f>SUMIF('507 s. Second'!$D$2:$EE$2,'Proforma Summary'!AG$4,'507 s. Second'!$D18:$EE18)</f>
        <v>1383089.191</v>
      </c>
      <c r="AH18" s="209">
        <f>SUMIF('507 s. Second'!$D$2:$EE$2,'Proforma Summary'!AH$4,'507 s. Second'!$D18:$EE18)</f>
        <v>1424581.866</v>
      </c>
      <c r="AI18" s="209">
        <f>SUMIF('507 s. Second'!$D$2:$EE$2,'Proforma Summary'!AI$4,'507 s. Second'!$D18:$EE18)</f>
        <v>1467319.322</v>
      </c>
      <c r="AJ18" s="209">
        <f>SUMIF('507 s. Second'!$D$2:$EE$2,'Proforma Summary'!AJ$4,'507 s. Second'!$D18:$EE18)</f>
        <v>1511338.902</v>
      </c>
      <c r="AK18" s="209">
        <f>SUMIF('507 s. Second'!$D$2:$EE$2,'Proforma Summary'!AK$4,'507 s. Second'!$D18:$EE18)</f>
        <v>1556679.069</v>
      </c>
      <c r="AL18" s="209">
        <f>SUMIF('507 s. Second'!$D$2:$EE$2,'Proforma Summary'!AL$4,'507 s. Second'!$D18:$EE18)</f>
        <v>1603379.441</v>
      </c>
      <c r="AM18" s="210">
        <f>SUMIF('507 s. Second'!$D$2:$EE$2,'Proforma Summary'!AM$4,'507 s. Second'!$D18:$EE18)</f>
        <v>1599872.049</v>
      </c>
      <c r="AN18" s="41"/>
      <c r="AO18" s="206" t="str">
        <f t="shared" si="6"/>
        <v>Effective Gross Income</v>
      </c>
      <c r="AP18" s="63"/>
      <c r="AQ18" s="209">
        <f>SUMIF('901 w. Western'!$D$2:$EE$2,'Proforma Summary'!AQ$4,'901 w. Western'!$D18:$EE18)</f>
        <v>2078820.072</v>
      </c>
      <c r="AR18" s="209">
        <f>SUMIF('901 w. Western'!$D$2:$EE$2,'Proforma Summary'!AR$4,'901 w. Western'!$D18:$EE18)</f>
        <v>2210255.148</v>
      </c>
      <c r="AS18" s="209">
        <f>SUMIF('901 w. Western'!$D$2:$EE$2,'Proforma Summary'!AS$4,'901 w. Western'!$D18:$EE18)</f>
        <v>2276562.802</v>
      </c>
      <c r="AT18" s="209">
        <f>SUMIF('901 w. Western'!$D$2:$EE$2,'Proforma Summary'!AT$4,'901 w. Western'!$D18:$EE18)</f>
        <v>2344859.686</v>
      </c>
      <c r="AU18" s="209">
        <f>SUMIF('901 w. Western'!$D$2:$EE$2,'Proforma Summary'!AU$4,'901 w. Western'!$D18:$EE18)</f>
        <v>2415205.477</v>
      </c>
      <c r="AV18" s="209">
        <f>SUMIF('901 w. Western'!$D$2:$EE$2,'Proforma Summary'!AV$4,'901 w. Western'!$D18:$EE18)</f>
        <v>2487661.641</v>
      </c>
      <c r="AW18" s="209">
        <f>SUMIF('901 w. Western'!$D$2:$EE$2,'Proforma Summary'!AW$4,'901 w. Western'!$D18:$EE18)</f>
        <v>2562291.49</v>
      </c>
      <c r="AX18" s="209">
        <f>SUMIF('901 w. Western'!$D$2:$EE$2,'Proforma Summary'!AX$4,'901 w. Western'!$D18:$EE18)</f>
        <v>2639160.235</v>
      </c>
      <c r="AY18" s="209">
        <f>SUMIF('901 w. Western'!$D$2:$EE$2,'Proforma Summary'!AY$4,'901 w. Western'!$D18:$EE18)</f>
        <v>2718335.042</v>
      </c>
      <c r="AZ18" s="210">
        <f>SUMIF('901 w. Western'!$D$2:$EE$2,'Proforma Summary'!AZ$4,'901 w. Western'!$D18:$EE18)</f>
        <v>2712388.684</v>
      </c>
    </row>
    <row r="19" ht="15.75" customHeight="1">
      <c r="A19" s="41"/>
      <c r="B19" s="206" t="str">
        <f>'305 e. Daniel'!C19</f>
        <v>Other Income (Parking)</v>
      </c>
      <c r="C19" s="6"/>
      <c r="D19" s="207">
        <f>SUMIF('305 e. Daniel'!$D$2:$EE$2,'Proforma Summary'!D$4,'305 e. Daniel'!$D19:$EE19)</f>
        <v>69822.155</v>
      </c>
      <c r="E19" s="207">
        <f>SUMIF('305 e. Daniel'!$D$2:$EE$2,'Proforma Summary'!E$4,'305 e. Daniel'!$D19:$EE19)</f>
        <v>71916.81965</v>
      </c>
      <c r="F19" s="207">
        <f>SUMIF('305 e. Daniel'!$D$2:$EE$2,'Proforma Summary'!F$4,'305 e. Daniel'!$D19:$EE19)</f>
        <v>74074.32424</v>
      </c>
      <c r="G19" s="207">
        <f>SUMIF('305 e. Daniel'!$D$2:$EE$2,'Proforma Summary'!G$4,'305 e. Daniel'!$D19:$EE19)</f>
        <v>76296.55397</v>
      </c>
      <c r="H19" s="207">
        <f>SUMIF('305 e. Daniel'!$D$2:$EE$2,'Proforma Summary'!H$4,'305 e. Daniel'!$D19:$EE19)</f>
        <v>78585.45059</v>
      </c>
      <c r="I19" s="207">
        <f>SUMIF('305 e. Daniel'!$D$2:$EE$2,'Proforma Summary'!I$4,'305 e. Daniel'!$D19:$EE19)</f>
        <v>80943.0141</v>
      </c>
      <c r="J19" s="207">
        <f>SUMIF('305 e. Daniel'!$D$2:$EE$2,'Proforma Summary'!J$4,'305 e. Daniel'!$D19:$EE19)</f>
        <v>83371.30453</v>
      </c>
      <c r="K19" s="207">
        <f>SUMIF('305 e. Daniel'!$D$2:$EE$2,'Proforma Summary'!K$4,'305 e. Daniel'!$D19:$EE19)</f>
        <v>85872.44366</v>
      </c>
      <c r="L19" s="207">
        <f>SUMIF('305 e. Daniel'!$D$2:$EE$2,'Proforma Summary'!L$4,'305 e. Daniel'!$D19:$EE19)</f>
        <v>88448.61697</v>
      </c>
      <c r="M19" s="208">
        <f>SUMIF('305 e. Daniel'!$D$2:$EE$2,'Proforma Summary'!M$4,'305 e. Daniel'!$D19:$EE19)</f>
        <v>91102.07548</v>
      </c>
      <c r="N19" s="41"/>
      <c r="O19" s="206" t="str">
        <f>'75 e. Armory'!C19</f>
        <v>Other Income</v>
      </c>
      <c r="P19" s="6"/>
      <c r="Q19" s="207">
        <f>SUMIF('75 e. Armory'!$D$2:$EE$2,'Proforma Summary'!Q$4,'75 e. Armory'!$D19:$EE20)</f>
        <v>274763.5107</v>
      </c>
      <c r="R19" s="207">
        <f>SUMIF('75 e. Armory'!$D$2:$EE$2,'Proforma Summary'!R$4,'75 e. Armory'!$D19:$EE20)</f>
        <v>283006.416</v>
      </c>
      <c r="S19" s="207">
        <f>SUMIF('75 e. Armory'!$D$2:$EE$2,'Proforma Summary'!S$4,'75 e. Armory'!$D19:$EE20)</f>
        <v>291496.6085</v>
      </c>
      <c r="T19" s="207">
        <f>SUMIF('75 e. Armory'!$D$2:$EE$2,'Proforma Summary'!T$4,'75 e. Armory'!$D19:$EE20)</f>
        <v>300241.5068</v>
      </c>
      <c r="U19" s="207">
        <f>SUMIF('75 e. Armory'!$D$2:$EE$2,'Proforma Summary'!U$4,'75 e. Armory'!$D19:$EE20)</f>
        <v>309248.752</v>
      </c>
      <c r="V19" s="207">
        <f>SUMIF('75 e. Armory'!$D$2:$EE$2,'Proforma Summary'!V$4,'75 e. Armory'!$D19:$EE20)</f>
        <v>318526.2145</v>
      </c>
      <c r="W19" s="207">
        <f>SUMIF('75 e. Armory'!$D$2:$EE$2,'Proforma Summary'!W$4,'75 e. Armory'!$D19:$EE20)</f>
        <v>328082.001</v>
      </c>
      <c r="X19" s="207">
        <f>SUMIF('75 e. Armory'!$D$2:$EE$2,'Proforma Summary'!X$4,'75 e. Armory'!$D19:$EE20)</f>
        <v>337924.461</v>
      </c>
      <c r="Y19" s="207">
        <f>SUMIF('75 e. Armory'!$D$2:$EE$2,'Proforma Summary'!Y$4,'75 e. Armory'!$D19:$EE20)</f>
        <v>348062.1948</v>
      </c>
      <c r="Z19" s="208">
        <f>SUMIF('75 e. Armory'!$D$2:$EE$2,'Proforma Summary'!Z$4,'75 e. Armory'!$D19:$EE20)</f>
        <v>358504.0607</v>
      </c>
      <c r="AA19" s="41"/>
      <c r="AB19" s="206" t="str">
        <f t="shared" si="5"/>
        <v>Other Income</v>
      </c>
      <c r="AC19" s="6"/>
      <c r="AD19" s="54">
        <f>SUMIF('507 s. Second'!$D$2:$EE$2,'Proforma Summary'!AD$4,'507 s. Second'!$D19:$EE19)</f>
        <v>170785.7111</v>
      </c>
      <c r="AE19" s="54">
        <f>SUMIF('507 s. Second'!$D$2:$EE$2,'Proforma Summary'!AE$4,'507 s. Second'!$D19:$EE19)</f>
        <v>175909.2824</v>
      </c>
      <c r="AF19" s="54">
        <f>SUMIF('507 s. Second'!$D$2:$EE$2,'Proforma Summary'!AF$4,'507 s. Second'!$D19:$EE19)</f>
        <v>181186.5609</v>
      </c>
      <c r="AG19" s="54">
        <f>SUMIF('507 s. Second'!$D$2:$EE$2,'Proforma Summary'!AG$4,'507 s. Second'!$D19:$EE19)</f>
        <v>186622.1577</v>
      </c>
      <c r="AH19" s="54">
        <f>SUMIF('507 s. Second'!$D$2:$EE$2,'Proforma Summary'!AH$4,'507 s. Second'!$D19:$EE19)</f>
        <v>192220.8225</v>
      </c>
      <c r="AI19" s="54">
        <f>SUMIF('507 s. Second'!$D$2:$EE$2,'Proforma Summary'!AI$4,'507 s. Second'!$D19:$EE19)</f>
        <v>197987.4471</v>
      </c>
      <c r="AJ19" s="54">
        <f>SUMIF('507 s. Second'!$D$2:$EE$2,'Proforma Summary'!AJ$4,'507 s. Second'!$D19:$EE19)</f>
        <v>203927.0706</v>
      </c>
      <c r="AK19" s="54">
        <f>SUMIF('507 s. Second'!$D$2:$EE$2,'Proforma Summary'!AK$4,'507 s. Second'!$D19:$EE19)</f>
        <v>210044.8827</v>
      </c>
      <c r="AL19" s="54">
        <f>SUMIF('507 s. Second'!$D$2:$EE$2,'Proforma Summary'!AL$4,'507 s. Second'!$D19:$EE19)</f>
        <v>216346.2291</v>
      </c>
      <c r="AM19" s="205">
        <f>SUMIF('507 s. Second'!$D$2:$EE$2,'Proforma Summary'!AM$4,'507 s. Second'!$D19:$EE19)</f>
        <v>222836.616</v>
      </c>
      <c r="AN19" s="41"/>
      <c r="AO19" s="206" t="str">
        <f t="shared" si="6"/>
        <v>Other Income</v>
      </c>
      <c r="AP19" s="6"/>
      <c r="AQ19" s="54">
        <f>SUMIF('901 w. Western'!$D$2:$EE$2,'Proforma Summary'!AQ$4,'901 w. Western'!$D19:$EE19)</f>
        <v>247049.1565</v>
      </c>
      <c r="AR19" s="54">
        <f>SUMIF('901 w. Western'!$D$2:$EE$2,'Proforma Summary'!AR$4,'901 w. Western'!$D19:$EE19)</f>
        <v>254460.6312</v>
      </c>
      <c r="AS19" s="54">
        <f>SUMIF('901 w. Western'!$D$2:$EE$2,'Proforma Summary'!AS$4,'901 w. Western'!$D19:$EE19)</f>
        <v>262094.4501</v>
      </c>
      <c r="AT19" s="54">
        <f>SUMIF('901 w. Western'!$D$2:$EE$2,'Proforma Summary'!AT$4,'901 w. Western'!$D19:$EE19)</f>
        <v>269957.2836</v>
      </c>
      <c r="AU19" s="54">
        <f>SUMIF('901 w. Western'!$D$2:$EE$2,'Proforma Summary'!AU$4,'901 w. Western'!$D19:$EE19)</f>
        <v>278056.0021</v>
      </c>
      <c r="AV19" s="54">
        <f>SUMIF('901 w. Western'!$D$2:$EE$2,'Proforma Summary'!AV$4,'901 w. Western'!$D19:$EE19)</f>
        <v>286397.6822</v>
      </c>
      <c r="AW19" s="54">
        <f>SUMIF('901 w. Western'!$D$2:$EE$2,'Proforma Summary'!AW$4,'901 w. Western'!$D19:$EE19)</f>
        <v>294989.6127</v>
      </c>
      <c r="AX19" s="54">
        <f>SUMIF('901 w. Western'!$D$2:$EE$2,'Proforma Summary'!AX$4,'901 w. Western'!$D19:$EE19)</f>
        <v>303839.3011</v>
      </c>
      <c r="AY19" s="54">
        <f>SUMIF('901 w. Western'!$D$2:$EE$2,'Proforma Summary'!AY$4,'901 w. Western'!$D19:$EE19)</f>
        <v>312954.4801</v>
      </c>
      <c r="AZ19" s="205">
        <f>SUMIF('901 w. Western'!$D$2:$EE$2,'Proforma Summary'!AZ$4,'901 w. Western'!$D19:$EE19)</f>
        <v>322343.1145</v>
      </c>
    </row>
    <row r="20" ht="15.75" customHeight="1">
      <c r="A20" s="41"/>
      <c r="B20" s="200" t="str">
        <f>'305 e. Daniel'!C20</f>
        <v>Utility Reimburshment (w/o Electricity)</v>
      </c>
      <c r="C20" s="1"/>
      <c r="D20" s="54">
        <f>SUMIF('305 e. Daniel'!$D$2:$EE$2,'Proforma Summary'!D$4,'305 e. Daniel'!$D20:$EE20)</f>
        <v>0</v>
      </c>
      <c r="E20" s="54">
        <f>SUMIF('305 e. Daniel'!$D$2:$EE$2,'Proforma Summary'!E$4,'305 e. Daniel'!$D20:$EE20)</f>
        <v>24724.17637</v>
      </c>
      <c r="F20" s="54">
        <f>SUMIF('305 e. Daniel'!$D$2:$EE$2,'Proforma Summary'!F$4,'305 e. Daniel'!$D20:$EE20)</f>
        <v>25465.90166</v>
      </c>
      <c r="G20" s="54">
        <f>SUMIF('305 e. Daniel'!$D$2:$EE$2,'Proforma Summary'!G$4,'305 e. Daniel'!$D20:$EE20)</f>
        <v>26229.87871</v>
      </c>
      <c r="H20" s="54">
        <f>SUMIF('305 e. Daniel'!$D$2:$EE$2,'Proforma Summary'!H$4,'305 e. Daniel'!$D20:$EE20)</f>
        <v>27016.77507</v>
      </c>
      <c r="I20" s="54">
        <f>SUMIF('305 e. Daniel'!$D$2:$EE$2,'Proforma Summary'!I$4,'305 e. Daniel'!$D20:$EE20)</f>
        <v>27827.27832</v>
      </c>
      <c r="J20" s="54">
        <f>SUMIF('305 e. Daniel'!$D$2:$EE$2,'Proforma Summary'!J$4,'305 e. Daniel'!$D20:$EE20)</f>
        <v>28662.09667</v>
      </c>
      <c r="K20" s="54">
        <f>SUMIF('305 e. Daniel'!$D$2:$EE$2,'Proforma Summary'!K$4,'305 e. Daniel'!$D20:$EE20)</f>
        <v>29521.95957</v>
      </c>
      <c r="L20" s="54">
        <f>SUMIF('305 e. Daniel'!$D$2:$EE$2,'Proforma Summary'!L$4,'305 e. Daniel'!$D20:$EE20)</f>
        <v>30407.61836</v>
      </c>
      <c r="M20" s="205">
        <f>SUMIF('305 e. Daniel'!$D$2:$EE$2,'Proforma Summary'!M$4,'305 e. Daniel'!$D20:$EE20)</f>
        <v>31319.84691</v>
      </c>
      <c r="N20" s="41"/>
      <c r="O20" s="200" t="str">
        <f>'75 e. Armory'!C20</f>
        <v>Utility Reimburshment (w/o Electricity)</v>
      </c>
      <c r="P20" s="1"/>
      <c r="Q20" s="54">
        <f>SUMIF('75 e. Armory'!$D$2:$EE$2,'Proforma Summary'!Q$4,'75 e. Armory'!$D20:$EE21)</f>
        <v>0</v>
      </c>
      <c r="R20" s="54">
        <f>SUMIF('75 e. Armory'!$D$2:$EE$2,'Proforma Summary'!R$4,'75 e. Armory'!$D20:$EE21)</f>
        <v>97811.45569</v>
      </c>
      <c r="S20" s="54">
        <f>SUMIF('75 e. Armory'!$D$2:$EE$2,'Proforma Summary'!S$4,'75 e. Armory'!$D20:$EE21)</f>
        <v>100745.7994</v>
      </c>
      <c r="T20" s="54">
        <f>SUMIF('75 e. Armory'!$D$2:$EE$2,'Proforma Summary'!T$4,'75 e. Armory'!$D20:$EE21)</f>
        <v>103768.1733</v>
      </c>
      <c r="U20" s="54">
        <f>SUMIF('75 e. Armory'!$D$2:$EE$2,'Proforma Summary'!U$4,'75 e. Armory'!$D20:$EE21)</f>
        <v>106881.2185</v>
      </c>
      <c r="V20" s="54">
        <f>SUMIF('75 e. Armory'!$D$2:$EE$2,'Proforma Summary'!V$4,'75 e. Armory'!$D20:$EE21)</f>
        <v>110087.6551</v>
      </c>
      <c r="W20" s="54">
        <f>SUMIF('75 e. Armory'!$D$2:$EE$2,'Proforma Summary'!W$4,'75 e. Armory'!$D20:$EE21)</f>
        <v>113390.2848</v>
      </c>
      <c r="X20" s="54">
        <f>SUMIF('75 e. Armory'!$D$2:$EE$2,'Proforma Summary'!X$4,'75 e. Armory'!$D20:$EE21)</f>
        <v>116791.9933</v>
      </c>
      <c r="Y20" s="54">
        <f>SUMIF('75 e. Armory'!$D$2:$EE$2,'Proforma Summary'!Y$4,'75 e. Armory'!$D20:$EE21)</f>
        <v>120295.7531</v>
      </c>
      <c r="Z20" s="205">
        <f>SUMIF('75 e. Armory'!$D$2:$EE$2,'Proforma Summary'!Z$4,'75 e. Armory'!$D20:$EE21)</f>
        <v>123904.6257</v>
      </c>
      <c r="AA20" s="41"/>
      <c r="AB20" s="200" t="str">
        <f t="shared" si="5"/>
        <v>Utility Reimburshment (w/o Electricity)</v>
      </c>
      <c r="AC20" s="1"/>
      <c r="AD20" s="54">
        <f>SUMIF('507 s. Second'!$D$2:$EE$2,'Proforma Summary'!AD$4,'507 s. Second'!$D20:$EE20)</f>
        <v>0</v>
      </c>
      <c r="AE20" s="54">
        <f>SUMIF('507 s. Second'!$D$2:$EE$2,'Proforma Summary'!AE$4,'507 s. Second'!$D20:$EE20)</f>
        <v>58849.39131</v>
      </c>
      <c r="AF20" s="54">
        <f>SUMIF('507 s. Second'!$D$2:$EE$2,'Proforma Summary'!AF$4,'507 s. Second'!$D20:$EE20)</f>
        <v>60614.87305</v>
      </c>
      <c r="AG20" s="54">
        <f>SUMIF('507 s. Second'!$D$2:$EE$2,'Proforma Summary'!AG$4,'507 s. Second'!$D20:$EE20)</f>
        <v>62433.31924</v>
      </c>
      <c r="AH20" s="54">
        <f>SUMIF('507 s. Second'!$D$2:$EE$2,'Proforma Summary'!AH$4,'507 s. Second'!$D20:$EE20)</f>
        <v>64306.31881</v>
      </c>
      <c r="AI20" s="54">
        <f>SUMIF('507 s. Second'!$D$2:$EE$2,'Proforma Summary'!AI$4,'507 s. Second'!$D20:$EE20)</f>
        <v>66235.50838</v>
      </c>
      <c r="AJ20" s="54">
        <f>SUMIF('507 s. Second'!$D$2:$EE$2,'Proforma Summary'!AJ$4,'507 s. Second'!$D20:$EE20)</f>
        <v>68222.57363</v>
      </c>
      <c r="AK20" s="54">
        <f>SUMIF('507 s. Second'!$D$2:$EE$2,'Proforma Summary'!AK$4,'507 s. Second'!$D20:$EE20)</f>
        <v>70269.25084</v>
      </c>
      <c r="AL20" s="54">
        <f>SUMIF('507 s. Second'!$D$2:$EE$2,'Proforma Summary'!AL$4,'507 s. Second'!$D20:$EE20)</f>
        <v>72377.32836</v>
      </c>
      <c r="AM20" s="205">
        <f>SUMIF('507 s. Second'!$D$2:$EE$2,'Proforma Summary'!AM$4,'507 s. Second'!$D20:$EE20)</f>
        <v>74548.64821</v>
      </c>
      <c r="AN20" s="41"/>
      <c r="AO20" s="200" t="str">
        <f t="shared" si="6"/>
        <v>Utility Reimburshment (w/o Electricity)</v>
      </c>
      <c r="AP20" s="1"/>
      <c r="AQ20" s="54">
        <f>SUMIF('901 w. Western'!$D$2:$EE$2,'Proforma Summary'!AQ$4,'901 w. Western'!$D20:$EE20)</f>
        <v>0</v>
      </c>
      <c r="AR20" s="54">
        <f>SUMIF('901 w. Western'!$D$2:$EE$2,'Proforma Summary'!AR$4,'901 w. Western'!$D20:$EE20)</f>
        <v>98355.08313</v>
      </c>
      <c r="AS20" s="54">
        <f>SUMIF('901 w. Western'!$D$2:$EE$2,'Proforma Summary'!AS$4,'901 w. Western'!$D20:$EE20)</f>
        <v>101305.7356</v>
      </c>
      <c r="AT20" s="54">
        <f>SUMIF('901 w. Western'!$D$2:$EE$2,'Proforma Summary'!AT$4,'901 w. Western'!$D20:$EE20)</f>
        <v>104344.9077</v>
      </c>
      <c r="AU20" s="54">
        <f>SUMIF('901 w. Western'!$D$2:$EE$2,'Proforma Summary'!AU$4,'901 w. Western'!$D20:$EE20)</f>
        <v>107475.2549</v>
      </c>
      <c r="AV20" s="54">
        <f>SUMIF('901 w. Western'!$D$2:$EE$2,'Proforma Summary'!AV$4,'901 w. Western'!$D20:$EE20)</f>
        <v>110699.5126</v>
      </c>
      <c r="AW20" s="54">
        <f>SUMIF('901 w. Western'!$D$2:$EE$2,'Proforma Summary'!AW$4,'901 w. Western'!$D20:$EE20)</f>
        <v>114020.4979</v>
      </c>
      <c r="AX20" s="54">
        <f>SUMIF('901 w. Western'!$D$2:$EE$2,'Proforma Summary'!AX$4,'901 w. Western'!$D20:$EE20)</f>
        <v>117441.1129</v>
      </c>
      <c r="AY20" s="54">
        <f>SUMIF('901 w. Western'!$D$2:$EE$2,'Proforma Summary'!AY$4,'901 w. Western'!$D20:$EE20)</f>
        <v>120964.3463</v>
      </c>
      <c r="AZ20" s="205">
        <f>SUMIF('901 w. Western'!$D$2:$EE$2,'Proforma Summary'!AZ$4,'901 w. Western'!$D20:$EE20)</f>
        <v>124593.2767</v>
      </c>
    </row>
    <row r="21" ht="15.75" customHeight="1">
      <c r="A21" s="41"/>
      <c r="B21" s="200" t="str">
        <f>'305 e. Daniel'!B21</f>
        <v>Total Operating Income</v>
      </c>
      <c r="C21" s="1"/>
      <c r="D21" s="54">
        <f>SUMIF('305 e. Daniel'!$D$2:$EE$2,'Proforma Summary'!D$4,'305 e. Daniel'!$D21:$EE21)</f>
        <v>661838.2479</v>
      </c>
      <c r="E21" s="54">
        <f>SUMIF('305 e. Daniel'!$D$2:$EE$2,'Proforma Summary'!E$4,'305 e. Daniel'!$D21:$EE21)</f>
        <v>726087.7838</v>
      </c>
      <c r="F21" s="54">
        <f>SUMIF('305 e. Daniel'!$D$2:$EE$2,'Proforma Summary'!F$4,'305 e. Daniel'!$D21:$EE21)</f>
        <v>747870.4174</v>
      </c>
      <c r="G21" s="54">
        <f>SUMIF('305 e. Daniel'!$D$2:$EE$2,'Proforma Summary'!G$4,'305 e. Daniel'!$D21:$EE21)</f>
        <v>770306.5299</v>
      </c>
      <c r="H21" s="54">
        <f>SUMIF('305 e. Daniel'!$D$2:$EE$2,'Proforma Summary'!H$4,'305 e. Daniel'!$D21:$EE21)</f>
        <v>793415.7258</v>
      </c>
      <c r="I21" s="54">
        <f>SUMIF('305 e. Daniel'!$D$2:$EE$2,'Proforma Summary'!I$4,'305 e. Daniel'!$D21:$EE21)</f>
        <v>817218.1975</v>
      </c>
      <c r="J21" s="54">
        <f>SUMIF('305 e. Daniel'!$D$2:$EE$2,'Proforma Summary'!J$4,'305 e. Daniel'!$D21:$EE21)</f>
        <v>841734.7435</v>
      </c>
      <c r="K21" s="54">
        <f>SUMIF('305 e. Daniel'!$D$2:$EE$2,'Proforma Summary'!K$4,'305 e. Daniel'!$D21:$EE21)</f>
        <v>866986.7858</v>
      </c>
      <c r="L21" s="54">
        <f>SUMIF('305 e. Daniel'!$D$2:$EE$2,'Proforma Summary'!L$4,'305 e. Daniel'!$D21:$EE21)</f>
        <v>892996.3894</v>
      </c>
      <c r="M21" s="205">
        <f>SUMIF('305 e. Daniel'!$D$2:$EE$2,'Proforma Summary'!M$4,'305 e. Daniel'!$D21:$EE21)</f>
        <v>919786.281</v>
      </c>
      <c r="N21" s="41"/>
      <c r="O21" s="200" t="str">
        <f>'75 e. Armory'!B21</f>
        <v>Total Operating Income</v>
      </c>
      <c r="P21" s="1"/>
      <c r="Q21" s="54">
        <f>SUMIF('75 e. Armory'!$D$2:$EE$2,'Proforma Summary'!Q$4,'75 e. Armory'!$D21:$EE22)</f>
        <v>2325171.182</v>
      </c>
      <c r="R21" s="54">
        <f>SUMIF('75 e. Armory'!$D$2:$EE$2,'Proforma Summary'!R$4,'75 e. Armory'!$D21:$EE22)</f>
        <v>2560864.222</v>
      </c>
      <c r="S21" s="54">
        <f>SUMIF('75 e. Armory'!$D$2:$EE$2,'Proforma Summary'!S$4,'75 e. Armory'!$D21:$EE22)</f>
        <v>2637690.149</v>
      </c>
      <c r="T21" s="54">
        <f>SUMIF('75 e. Armory'!$D$2:$EE$2,'Proforma Summary'!T$4,'75 e. Armory'!$D21:$EE22)</f>
        <v>2716820.853</v>
      </c>
      <c r="U21" s="54">
        <f>SUMIF('75 e. Armory'!$D$2:$EE$2,'Proforma Summary'!U$4,'75 e. Armory'!$D21:$EE22)</f>
        <v>2798325.479</v>
      </c>
      <c r="V21" s="54">
        <f>SUMIF('75 e. Armory'!$D$2:$EE$2,'Proforma Summary'!V$4,'75 e. Armory'!$D21:$EE22)</f>
        <v>2882275.243</v>
      </c>
      <c r="W21" s="54">
        <f>SUMIF('75 e. Armory'!$D$2:$EE$2,'Proforma Summary'!W$4,'75 e. Armory'!$D21:$EE22)</f>
        <v>2968743.5</v>
      </c>
      <c r="X21" s="54">
        <f>SUMIF('75 e. Armory'!$D$2:$EE$2,'Proforma Summary'!X$4,'75 e. Armory'!$D21:$EE22)</f>
        <v>3057805.805</v>
      </c>
      <c r="Y21" s="54">
        <f>SUMIF('75 e. Armory'!$D$2:$EE$2,'Proforma Summary'!Y$4,'75 e. Armory'!$D21:$EE22)</f>
        <v>3149539.98</v>
      </c>
      <c r="Z21" s="205">
        <f>SUMIF('75 e. Armory'!$D$2:$EE$2,'Proforma Summary'!Z$4,'75 e. Armory'!$D21:$EE22)</f>
        <v>3244026.179</v>
      </c>
      <c r="AA21" s="41"/>
      <c r="AB21" s="200" t="str">
        <f t="shared" si="5"/>
        <v>Total Operating Income</v>
      </c>
      <c r="AC21" s="1"/>
      <c r="AD21" s="54">
        <f>SUMIF('507 s. Second'!$D$2:$EE$2,'Proforma Summary'!AD$4,'507 s. Second'!$D21:$EE21)</f>
        <v>1396954.419</v>
      </c>
      <c r="AE21" s="54">
        <f>SUMIF('507 s. Second'!$D$2:$EE$2,'Proforma Summary'!AE$4,'507 s. Second'!$D21:$EE21)</f>
        <v>1538452.887</v>
      </c>
      <c r="AF21" s="54">
        <f>SUMIF('507 s. Second'!$D$2:$EE$2,'Proforma Summary'!AF$4,'507 s. Second'!$D21:$EE21)</f>
        <v>1584606.473</v>
      </c>
      <c r="AG21" s="54">
        <f>SUMIF('507 s. Second'!$D$2:$EE$2,'Proforma Summary'!AG$4,'507 s. Second'!$D21:$EE21)</f>
        <v>1632144.668</v>
      </c>
      <c r="AH21" s="54">
        <f>SUMIF('507 s. Second'!$D$2:$EE$2,'Proforma Summary'!AH$4,'507 s. Second'!$D21:$EE21)</f>
        <v>1681109.008</v>
      </c>
      <c r="AI21" s="54">
        <f>SUMIF('507 s. Second'!$D$2:$EE$2,'Proforma Summary'!AI$4,'507 s. Second'!$D21:$EE21)</f>
        <v>1731542.278</v>
      </c>
      <c r="AJ21" s="54">
        <f>SUMIF('507 s. Second'!$D$2:$EE$2,'Proforma Summary'!AJ$4,'507 s. Second'!$D21:$EE21)</f>
        <v>1783488.546</v>
      </c>
      <c r="AK21" s="54">
        <f>SUMIF('507 s. Second'!$D$2:$EE$2,'Proforma Summary'!AK$4,'507 s. Second'!$D21:$EE21)</f>
        <v>1836993.203</v>
      </c>
      <c r="AL21" s="54">
        <f>SUMIF('507 s. Second'!$D$2:$EE$2,'Proforma Summary'!AL$4,'507 s. Second'!$D21:$EE21)</f>
        <v>1892102.999</v>
      </c>
      <c r="AM21" s="205">
        <f>SUMIF('507 s. Second'!$D$2:$EE$2,'Proforma Summary'!AM$4,'507 s. Second'!$D21:$EE21)</f>
        <v>1897257.313</v>
      </c>
      <c r="AN21" s="41"/>
      <c r="AO21" s="206" t="str">
        <f t="shared" si="6"/>
        <v>Total Operating Income</v>
      </c>
      <c r="AP21" s="6"/>
      <c r="AQ21" s="207">
        <f>SUMIF('901 w. Western'!$D$2:$EE$2,'Proforma Summary'!AQ$4,'901 w. Western'!$D21:$EE21)</f>
        <v>2325869.229</v>
      </c>
      <c r="AR21" s="207">
        <f>SUMIF('901 w. Western'!$D$2:$EE$2,'Proforma Summary'!AR$4,'901 w. Western'!$D21:$EE21)</f>
        <v>2563070.862</v>
      </c>
      <c r="AS21" s="207">
        <f>SUMIF('901 w. Western'!$D$2:$EE$2,'Proforma Summary'!AS$4,'901 w. Western'!$D21:$EE21)</f>
        <v>2639962.988</v>
      </c>
      <c r="AT21" s="207">
        <f>SUMIF('901 w. Western'!$D$2:$EE$2,'Proforma Summary'!AT$4,'901 w. Western'!$D21:$EE21)</f>
        <v>2719161.877</v>
      </c>
      <c r="AU21" s="207">
        <f>SUMIF('901 w. Western'!$D$2:$EE$2,'Proforma Summary'!AU$4,'901 w. Western'!$D21:$EE21)</f>
        <v>2800736.734</v>
      </c>
      <c r="AV21" s="207">
        <f>SUMIF('901 w. Western'!$D$2:$EE$2,'Proforma Summary'!AV$4,'901 w. Western'!$D21:$EE21)</f>
        <v>2884758.836</v>
      </c>
      <c r="AW21" s="207">
        <f>SUMIF('901 w. Western'!$D$2:$EE$2,'Proforma Summary'!AW$4,'901 w. Western'!$D21:$EE21)</f>
        <v>2971301.601</v>
      </c>
      <c r="AX21" s="207">
        <f>SUMIF('901 w. Western'!$D$2:$EE$2,'Proforma Summary'!AX$4,'901 w. Western'!$D21:$EE21)</f>
        <v>3060440.649</v>
      </c>
      <c r="AY21" s="207">
        <f>SUMIF('901 w. Western'!$D$2:$EE$2,'Proforma Summary'!AY$4,'901 w. Western'!$D21:$EE21)</f>
        <v>3152253.868</v>
      </c>
      <c r="AZ21" s="208">
        <f>SUMIF('901 w. Western'!$D$2:$EE$2,'Proforma Summary'!AZ$4,'901 w. Western'!$D21:$EE21)</f>
        <v>3159325.075</v>
      </c>
    </row>
    <row r="22" ht="15.75" customHeight="1">
      <c r="A22" s="41"/>
      <c r="B22" s="200"/>
      <c r="C22" s="1"/>
      <c r="D22" s="54"/>
      <c r="E22" s="54"/>
      <c r="F22" s="54"/>
      <c r="G22" s="54"/>
      <c r="H22" s="54"/>
      <c r="I22" s="54"/>
      <c r="J22" s="54"/>
      <c r="K22" s="54"/>
      <c r="L22" s="54"/>
      <c r="M22" s="205"/>
      <c r="N22" s="41"/>
      <c r="O22" s="200"/>
      <c r="P22" s="1"/>
      <c r="Q22" s="54"/>
      <c r="R22" s="54"/>
      <c r="S22" s="54"/>
      <c r="T22" s="54"/>
      <c r="U22" s="54"/>
      <c r="V22" s="54"/>
      <c r="W22" s="54"/>
      <c r="X22" s="54"/>
      <c r="Y22" s="54"/>
      <c r="Z22" s="205"/>
      <c r="AA22" s="41"/>
      <c r="AB22" s="200"/>
      <c r="AC22" s="1"/>
      <c r="AD22" s="54"/>
      <c r="AE22" s="54"/>
      <c r="AF22" s="54"/>
      <c r="AG22" s="54"/>
      <c r="AH22" s="54"/>
      <c r="AI22" s="54"/>
      <c r="AJ22" s="54"/>
      <c r="AK22" s="54"/>
      <c r="AL22" s="54"/>
      <c r="AM22" s="205"/>
      <c r="AN22" s="41"/>
      <c r="AO22" s="200"/>
      <c r="AP22" s="1"/>
      <c r="AQ22" s="54"/>
      <c r="AR22" s="54"/>
      <c r="AS22" s="54"/>
      <c r="AT22" s="54"/>
      <c r="AU22" s="54"/>
      <c r="AV22" s="54"/>
      <c r="AW22" s="54"/>
      <c r="AX22" s="54"/>
      <c r="AY22" s="54"/>
      <c r="AZ22" s="205"/>
    </row>
    <row r="23" ht="15.75" customHeight="1">
      <c r="A23" s="41"/>
      <c r="B23" s="204" t="str">
        <f>'305 e. Daniel'!B23</f>
        <v>Operating Expenses</v>
      </c>
      <c r="C23" s="1"/>
      <c r="D23" s="54"/>
      <c r="E23" s="54"/>
      <c r="F23" s="54"/>
      <c r="G23" s="54"/>
      <c r="H23" s="54"/>
      <c r="I23" s="54"/>
      <c r="J23" s="54"/>
      <c r="K23" s="54"/>
      <c r="L23" s="54"/>
      <c r="M23" s="205"/>
      <c r="N23" s="41"/>
      <c r="O23" s="204" t="str">
        <f>'75 e. Armory'!B23</f>
        <v>Operating Expenses</v>
      </c>
      <c r="P23" s="1"/>
      <c r="Q23" s="54"/>
      <c r="R23" s="54"/>
      <c r="S23" s="54"/>
      <c r="T23" s="54"/>
      <c r="U23" s="54"/>
      <c r="V23" s="54"/>
      <c r="W23" s="54"/>
      <c r="X23" s="54"/>
      <c r="Y23" s="54"/>
      <c r="Z23" s="205"/>
      <c r="AA23" s="41"/>
      <c r="AB23" s="204" t="str">
        <f t="shared" ref="AB23:AB36" si="7">O23</f>
        <v>Operating Expenses</v>
      </c>
      <c r="AC23" s="1"/>
      <c r="AD23" s="54"/>
      <c r="AE23" s="54"/>
      <c r="AF23" s="54"/>
      <c r="AG23" s="54"/>
      <c r="AH23" s="54"/>
      <c r="AI23" s="54"/>
      <c r="AJ23" s="54"/>
      <c r="AK23" s="54"/>
      <c r="AL23" s="54"/>
      <c r="AM23" s="205"/>
      <c r="AN23" s="41"/>
      <c r="AO23" s="204" t="str">
        <f t="shared" ref="AO23:AO36" si="8">AB23</f>
        <v>Operating Expenses</v>
      </c>
      <c r="AP23" s="1"/>
      <c r="AQ23" s="54"/>
      <c r="AR23" s="54"/>
      <c r="AS23" s="54"/>
      <c r="AT23" s="54"/>
      <c r="AU23" s="54"/>
      <c r="AV23" s="54"/>
      <c r="AW23" s="54"/>
      <c r="AX23" s="54"/>
      <c r="AY23" s="54"/>
      <c r="AZ23" s="205"/>
    </row>
    <row r="24" ht="15.75" customHeight="1">
      <c r="A24" s="41"/>
      <c r="B24" s="200" t="str">
        <f>'305 e. Daniel'!C24</f>
        <v>General &amp; Admin</v>
      </c>
      <c r="C24" s="1"/>
      <c r="D24" s="54">
        <f>SUMIF('305 e. Daniel'!$D$2:$EE$2,'Proforma Summary'!D$4,'305 e. Daniel'!$D24:$EE24)</f>
        <v>-9045.3467</v>
      </c>
      <c r="E24" s="54">
        <f>SUMIF('305 e. Daniel'!$D$2:$EE$2,'Proforma Summary'!E$4,'305 e. Daniel'!$D24:$EE24)</f>
        <v>-9316.707101</v>
      </c>
      <c r="F24" s="54">
        <f>SUMIF('305 e. Daniel'!$D$2:$EE$2,'Proforma Summary'!F$4,'305 e. Daniel'!$D24:$EE24)</f>
        <v>-9596.208314</v>
      </c>
      <c r="G24" s="54">
        <f>SUMIF('305 e. Daniel'!$D$2:$EE$2,'Proforma Summary'!G$4,'305 e. Daniel'!$D24:$EE24)</f>
        <v>-9884.094563</v>
      </c>
      <c r="H24" s="54">
        <f>SUMIF('305 e. Daniel'!$D$2:$EE$2,'Proforma Summary'!H$4,'305 e. Daniel'!$D24:$EE24)</f>
        <v>-10180.6174</v>
      </c>
      <c r="I24" s="54">
        <f>SUMIF('305 e. Daniel'!$D$2:$EE$2,'Proforma Summary'!I$4,'305 e. Daniel'!$D24:$EE24)</f>
        <v>-10486.03592</v>
      </c>
      <c r="J24" s="54">
        <f>SUMIF('305 e. Daniel'!$D$2:$EE$2,'Proforma Summary'!J$4,'305 e. Daniel'!$D24:$EE24)</f>
        <v>-10800.617</v>
      </c>
      <c r="K24" s="54">
        <f>SUMIF('305 e. Daniel'!$D$2:$EE$2,'Proforma Summary'!K$4,'305 e. Daniel'!$D24:$EE24)</f>
        <v>-11124.63551</v>
      </c>
      <c r="L24" s="54">
        <f>SUMIF('305 e. Daniel'!$D$2:$EE$2,'Proforma Summary'!L$4,'305 e. Daniel'!$D24:$EE24)</f>
        <v>-11458.37458</v>
      </c>
      <c r="M24" s="205">
        <f>SUMIF('305 e. Daniel'!$D$2:$EE$2,'Proforma Summary'!M$4,'305 e. Daniel'!$D24:$EE24)</f>
        <v>-11802.12581</v>
      </c>
      <c r="N24" s="41"/>
      <c r="O24" s="200" t="str">
        <f>'75 e. Armory'!C24</f>
        <v>General &amp; Admin</v>
      </c>
      <c r="P24" s="1"/>
      <c r="Q24" s="54">
        <f>SUMIF('75 e. Armory'!$D$2:$EE$2,'Proforma Summary'!Q$4,'75 e. Armory'!$D24:$EE25)</f>
        <v>-15585.0536</v>
      </c>
      <c r="R24" s="54">
        <f>SUMIF('75 e. Armory'!$D$2:$EE$2,'Proforma Summary'!R$4,'75 e. Armory'!$D24:$EE25)</f>
        <v>-16052.60521</v>
      </c>
      <c r="S24" s="54">
        <f>SUMIF('75 e. Armory'!$D$2:$EE$2,'Proforma Summary'!S$4,'75 e. Armory'!$D24:$EE25)</f>
        <v>-16534.18336</v>
      </c>
      <c r="T24" s="54">
        <f>SUMIF('75 e. Armory'!$D$2:$EE$2,'Proforma Summary'!T$4,'75 e. Armory'!$D24:$EE25)</f>
        <v>-17030.20887</v>
      </c>
      <c r="U24" s="54">
        <f>SUMIF('75 e. Armory'!$D$2:$EE$2,'Proforma Summary'!U$4,'75 e. Armory'!$D24:$EE25)</f>
        <v>-17541.11513</v>
      </c>
      <c r="V24" s="54">
        <f>SUMIF('75 e. Armory'!$D$2:$EE$2,'Proforma Summary'!V$4,'75 e. Armory'!$D24:$EE25)</f>
        <v>-18067.34859</v>
      </c>
      <c r="W24" s="54">
        <f>SUMIF('75 e. Armory'!$D$2:$EE$2,'Proforma Summary'!W$4,'75 e. Armory'!$D24:$EE25)</f>
        <v>-18609.36904</v>
      </c>
      <c r="X24" s="54">
        <f>SUMIF('75 e. Armory'!$D$2:$EE$2,'Proforma Summary'!X$4,'75 e. Armory'!$D24:$EE25)</f>
        <v>-19167.65011</v>
      </c>
      <c r="Y24" s="54">
        <f>SUMIF('75 e. Armory'!$D$2:$EE$2,'Proforma Summary'!Y$4,'75 e. Armory'!$D24:$EE25)</f>
        <v>-19742.67962</v>
      </c>
      <c r="Z24" s="205">
        <f>SUMIF('75 e. Armory'!$D$2:$EE$2,'Proforma Summary'!Z$4,'75 e. Armory'!$D24:$EE25)</f>
        <v>-20334.96001</v>
      </c>
      <c r="AA24" s="41"/>
      <c r="AB24" s="200" t="str">
        <f t="shared" si="7"/>
        <v>General &amp; Admin</v>
      </c>
      <c r="AC24" s="1"/>
      <c r="AD24" s="54">
        <f>SUMIF('507 s. Second'!$D$2:$EE$2,'Proforma Summary'!AD$4,'507 s. Second'!$D24:$EE24)</f>
        <v>-11224.4044</v>
      </c>
      <c r="AE24" s="54">
        <f>SUMIF('507 s. Second'!$D$2:$EE$2,'Proforma Summary'!AE$4,'507 s. Second'!$D24:$EE24)</f>
        <v>-11561.13653</v>
      </c>
      <c r="AF24" s="54">
        <f>SUMIF('507 s. Second'!$D$2:$EE$2,'Proforma Summary'!AF$4,'507 s. Second'!$D24:$EE24)</f>
        <v>-11907.97063</v>
      </c>
      <c r="AG24" s="54">
        <f>SUMIF('507 s. Second'!$D$2:$EE$2,'Proforma Summary'!AG$4,'507 s. Second'!$D24:$EE24)</f>
        <v>-12265.20975</v>
      </c>
      <c r="AH24" s="54">
        <f>SUMIF('507 s. Second'!$D$2:$EE$2,'Proforma Summary'!AH$4,'507 s. Second'!$D24:$EE24)</f>
        <v>-12633.16604</v>
      </c>
      <c r="AI24" s="54">
        <f>SUMIF('507 s. Second'!$D$2:$EE$2,'Proforma Summary'!AI$4,'507 s. Second'!$D24:$EE24)</f>
        <v>-13012.16102</v>
      </c>
      <c r="AJ24" s="54">
        <f>SUMIF('507 s. Second'!$D$2:$EE$2,'Proforma Summary'!AJ$4,'507 s. Second'!$D24:$EE24)</f>
        <v>-13402.52585</v>
      </c>
      <c r="AK24" s="54">
        <f>SUMIF('507 s. Second'!$D$2:$EE$2,'Proforma Summary'!AK$4,'507 s. Second'!$D24:$EE24)</f>
        <v>-13804.60163</v>
      </c>
      <c r="AL24" s="54">
        <f>SUMIF('507 s. Second'!$D$2:$EE$2,'Proforma Summary'!AL$4,'507 s. Second'!$D24:$EE24)</f>
        <v>-14218.73968</v>
      </c>
      <c r="AM24" s="205">
        <f>SUMIF('507 s. Second'!$D$2:$EE$2,'Proforma Summary'!AM$4,'507 s. Second'!$D24:$EE24)</f>
        <v>-14645.30187</v>
      </c>
      <c r="AN24" s="41"/>
      <c r="AO24" s="200" t="str">
        <f t="shared" si="8"/>
        <v>General &amp; Admin</v>
      </c>
      <c r="AP24" s="1"/>
      <c r="AQ24" s="54">
        <f>SUMIF('901 w. Western'!$D$2:$EE$2,'Proforma Summary'!AQ$4,'901 w. Western'!$D24:$EE24)</f>
        <v>-17244.5175</v>
      </c>
      <c r="AR24" s="54">
        <f>SUMIF('901 w. Western'!$D$2:$EE$2,'Proforma Summary'!AR$4,'901 w. Western'!$D24:$EE24)</f>
        <v>-17761.85303</v>
      </c>
      <c r="AS24" s="54">
        <f>SUMIF('901 w. Western'!$D$2:$EE$2,'Proforma Summary'!AS$4,'901 w. Western'!$D24:$EE24)</f>
        <v>-18294.70862</v>
      </c>
      <c r="AT24" s="54">
        <f>SUMIF('901 w. Western'!$D$2:$EE$2,'Proforma Summary'!AT$4,'901 w. Western'!$D24:$EE24)</f>
        <v>-18843.54987</v>
      </c>
      <c r="AU24" s="54">
        <f>SUMIF('901 w. Western'!$D$2:$EE$2,'Proforma Summary'!AU$4,'901 w. Western'!$D24:$EE24)</f>
        <v>-19408.85637</v>
      </c>
      <c r="AV24" s="54">
        <f>SUMIF('901 w. Western'!$D$2:$EE$2,'Proforma Summary'!AV$4,'901 w. Western'!$D24:$EE24)</f>
        <v>-19991.12206</v>
      </c>
      <c r="AW24" s="54">
        <f>SUMIF('901 w. Western'!$D$2:$EE$2,'Proforma Summary'!AW$4,'901 w. Western'!$D24:$EE24)</f>
        <v>-20590.85572</v>
      </c>
      <c r="AX24" s="54">
        <f>SUMIF('901 w. Western'!$D$2:$EE$2,'Proforma Summary'!AX$4,'901 w. Western'!$D24:$EE24)</f>
        <v>-21208.5814</v>
      </c>
      <c r="AY24" s="54">
        <f>SUMIF('901 w. Western'!$D$2:$EE$2,'Proforma Summary'!AY$4,'901 w. Western'!$D24:$EE24)</f>
        <v>-21844.83884</v>
      </c>
      <c r="AZ24" s="205">
        <f>SUMIF('901 w. Western'!$D$2:$EE$2,'Proforma Summary'!AZ$4,'901 w. Western'!$D24:$EE24)</f>
        <v>-22500.184</v>
      </c>
    </row>
    <row r="25" ht="15.75" customHeight="1">
      <c r="A25" s="41"/>
      <c r="B25" s="200" t="str">
        <f>'305 e. Daniel'!C25</f>
        <v>Payroll</v>
      </c>
      <c r="C25" s="1"/>
      <c r="D25" s="54">
        <f>SUMIF('305 e. Daniel'!$D$2:$EE$2,'Proforma Summary'!D$4,'305 e. Daniel'!$D25:$EE25)</f>
        <v>-21951.4836</v>
      </c>
      <c r="E25" s="54">
        <f>SUMIF('305 e. Daniel'!$D$2:$EE$2,'Proforma Summary'!E$4,'305 e. Daniel'!$D25:$EE25)</f>
        <v>-22610.02811</v>
      </c>
      <c r="F25" s="54">
        <f>SUMIF('305 e. Daniel'!$D$2:$EE$2,'Proforma Summary'!F$4,'305 e. Daniel'!$D25:$EE25)</f>
        <v>-23288.32895</v>
      </c>
      <c r="G25" s="54">
        <f>SUMIF('305 e. Daniel'!$D$2:$EE$2,'Proforma Summary'!G$4,'305 e. Daniel'!$D25:$EE25)</f>
        <v>-23986.97882</v>
      </c>
      <c r="H25" s="54">
        <f>SUMIF('305 e. Daniel'!$D$2:$EE$2,'Proforma Summary'!H$4,'305 e. Daniel'!$D25:$EE25)</f>
        <v>-24706.58818</v>
      </c>
      <c r="I25" s="54">
        <f>SUMIF('305 e. Daniel'!$D$2:$EE$2,'Proforma Summary'!I$4,'305 e. Daniel'!$D25:$EE25)</f>
        <v>-25447.78583</v>
      </c>
      <c r="J25" s="54">
        <f>SUMIF('305 e. Daniel'!$D$2:$EE$2,'Proforma Summary'!J$4,'305 e. Daniel'!$D25:$EE25)</f>
        <v>-26211.2194</v>
      </c>
      <c r="K25" s="54">
        <f>SUMIF('305 e. Daniel'!$D$2:$EE$2,'Proforma Summary'!K$4,'305 e. Daniel'!$D25:$EE25)</f>
        <v>-26997.55599</v>
      </c>
      <c r="L25" s="54">
        <f>SUMIF('305 e. Daniel'!$D$2:$EE$2,'Proforma Summary'!L$4,'305 e. Daniel'!$D25:$EE25)</f>
        <v>-27807.48267</v>
      </c>
      <c r="M25" s="205">
        <f>SUMIF('305 e. Daniel'!$D$2:$EE$2,'Proforma Summary'!M$4,'305 e. Daniel'!$D25:$EE25)</f>
        <v>-28641.70715</v>
      </c>
      <c r="N25" s="41"/>
      <c r="O25" s="200" t="str">
        <f>'75 e. Armory'!C25</f>
        <v>Payroll</v>
      </c>
      <c r="P25" s="1"/>
      <c r="Q25" s="54">
        <f>SUMIF('75 e. Armory'!$D$2:$EE$2,'Proforma Summary'!Q$4,'75 e. Armory'!$D25:$EE26)</f>
        <v>-106033.3706</v>
      </c>
      <c r="R25" s="54">
        <f>SUMIF('75 e. Armory'!$D$2:$EE$2,'Proforma Summary'!R$4,'75 e. Armory'!$D25:$EE26)</f>
        <v>-109214.3717</v>
      </c>
      <c r="S25" s="54">
        <f>SUMIF('75 e. Armory'!$D$2:$EE$2,'Proforma Summary'!S$4,'75 e. Armory'!$D25:$EE26)</f>
        <v>-112490.8029</v>
      </c>
      <c r="T25" s="54">
        <f>SUMIF('75 e. Armory'!$D$2:$EE$2,'Proforma Summary'!T$4,'75 e. Armory'!$D25:$EE26)</f>
        <v>-115865.527</v>
      </c>
      <c r="U25" s="54">
        <f>SUMIF('75 e. Armory'!$D$2:$EE$2,'Proforma Summary'!U$4,'75 e. Armory'!$D25:$EE26)</f>
        <v>-119341.4928</v>
      </c>
      <c r="V25" s="54">
        <f>SUMIF('75 e. Armory'!$D$2:$EE$2,'Proforma Summary'!V$4,'75 e. Armory'!$D25:$EE26)</f>
        <v>-122921.7375</v>
      </c>
      <c r="W25" s="54">
        <f>SUMIF('75 e. Armory'!$D$2:$EE$2,'Proforma Summary'!W$4,'75 e. Armory'!$D25:$EE26)</f>
        <v>-126609.3897</v>
      </c>
      <c r="X25" s="54">
        <f>SUMIF('75 e. Armory'!$D$2:$EE$2,'Proforma Summary'!X$4,'75 e. Armory'!$D25:$EE26)</f>
        <v>-130407.6714</v>
      </c>
      <c r="Y25" s="54">
        <f>SUMIF('75 e. Armory'!$D$2:$EE$2,'Proforma Summary'!Y$4,'75 e. Armory'!$D25:$EE26)</f>
        <v>-134319.9015</v>
      </c>
      <c r="Z25" s="205">
        <f>SUMIF('75 e. Armory'!$D$2:$EE$2,'Proforma Summary'!Z$4,'75 e. Armory'!$D25:$EE26)</f>
        <v>-138349.4985</v>
      </c>
      <c r="AA25" s="41"/>
      <c r="AB25" s="200" t="str">
        <f t="shared" si="7"/>
        <v>Payroll</v>
      </c>
      <c r="AC25" s="1"/>
      <c r="AD25" s="54">
        <f>SUMIF('507 s. Second'!$D$2:$EE$2,'Proforma Summary'!AD$4,'507 s. Second'!$D25:$EE25)</f>
        <v>-56958.3614</v>
      </c>
      <c r="AE25" s="54">
        <f>SUMIF('507 s. Second'!$D$2:$EE$2,'Proforma Summary'!AE$4,'507 s. Second'!$D25:$EE25)</f>
        <v>-58667.11224</v>
      </c>
      <c r="AF25" s="54">
        <f>SUMIF('507 s. Second'!$D$2:$EE$2,'Proforma Summary'!AF$4,'507 s. Second'!$D25:$EE25)</f>
        <v>-60427.12561</v>
      </c>
      <c r="AG25" s="54">
        <f>SUMIF('507 s. Second'!$D$2:$EE$2,'Proforma Summary'!AG$4,'507 s. Second'!$D25:$EE25)</f>
        <v>-62239.93938</v>
      </c>
      <c r="AH25" s="54">
        <f>SUMIF('507 s. Second'!$D$2:$EE$2,'Proforma Summary'!AH$4,'507 s. Second'!$D25:$EE25)</f>
        <v>-64107.13756</v>
      </c>
      <c r="AI25" s="54">
        <f>SUMIF('507 s. Second'!$D$2:$EE$2,'Proforma Summary'!AI$4,'507 s. Second'!$D25:$EE25)</f>
        <v>-66030.35169</v>
      </c>
      <c r="AJ25" s="54">
        <f>SUMIF('507 s. Second'!$D$2:$EE$2,'Proforma Summary'!AJ$4,'507 s. Second'!$D25:$EE25)</f>
        <v>-68011.26224</v>
      </c>
      <c r="AK25" s="54">
        <f>SUMIF('507 s. Second'!$D$2:$EE$2,'Proforma Summary'!AK$4,'507 s. Second'!$D25:$EE25)</f>
        <v>-70051.6001</v>
      </c>
      <c r="AL25" s="54">
        <f>SUMIF('507 s. Second'!$D$2:$EE$2,'Proforma Summary'!AL$4,'507 s. Second'!$D25:$EE25)</f>
        <v>-72153.14811</v>
      </c>
      <c r="AM25" s="205">
        <f>SUMIF('507 s. Second'!$D$2:$EE$2,'Proforma Summary'!AM$4,'507 s. Second'!$D25:$EE25)</f>
        <v>-74317.74255</v>
      </c>
      <c r="AN25" s="41"/>
      <c r="AO25" s="200" t="str">
        <f t="shared" si="8"/>
        <v>Payroll</v>
      </c>
      <c r="AP25" s="1"/>
      <c r="AQ25" s="54">
        <f>SUMIF('901 w. Western'!$D$2:$EE$2,'Proforma Summary'!AQ$4,'901 w. Western'!$D25:$EE25)</f>
        <v>-98773.2817</v>
      </c>
      <c r="AR25" s="54">
        <f>SUMIF('901 w. Western'!$D$2:$EE$2,'Proforma Summary'!AR$4,'901 w. Western'!$D25:$EE25)</f>
        <v>-101736.4802</v>
      </c>
      <c r="AS25" s="54">
        <f>SUMIF('901 w. Western'!$D$2:$EE$2,'Proforma Summary'!AS$4,'901 w. Western'!$D25:$EE25)</f>
        <v>-104788.5746</v>
      </c>
      <c r="AT25" s="54">
        <f>SUMIF('901 w. Western'!$D$2:$EE$2,'Proforma Summary'!AT$4,'901 w. Western'!$D25:$EE25)</f>
        <v>-107932.2318</v>
      </c>
      <c r="AU25" s="54">
        <f>SUMIF('901 w. Western'!$D$2:$EE$2,'Proforma Summary'!AU$4,'901 w. Western'!$D25:$EE25)</f>
        <v>-111170.1987</v>
      </c>
      <c r="AV25" s="54">
        <f>SUMIF('901 w. Western'!$D$2:$EE$2,'Proforma Summary'!AV$4,'901 w. Western'!$D25:$EE25)</f>
        <v>-114505.3047</v>
      </c>
      <c r="AW25" s="54">
        <f>SUMIF('901 w. Western'!$D$2:$EE$2,'Proforma Summary'!AW$4,'901 w. Western'!$D25:$EE25)</f>
        <v>-117940.4638</v>
      </c>
      <c r="AX25" s="54">
        <f>SUMIF('901 w. Western'!$D$2:$EE$2,'Proforma Summary'!AX$4,'901 w. Western'!$D25:$EE25)</f>
        <v>-121478.6778</v>
      </c>
      <c r="AY25" s="54">
        <f>SUMIF('901 w. Western'!$D$2:$EE$2,'Proforma Summary'!AY$4,'901 w. Western'!$D25:$EE25)</f>
        <v>-125123.0381</v>
      </c>
      <c r="AZ25" s="205">
        <f>SUMIF('901 w. Western'!$D$2:$EE$2,'Proforma Summary'!AZ$4,'901 w. Western'!$D25:$EE25)</f>
        <v>-128876.7292</v>
      </c>
    </row>
    <row r="26" ht="15.75" customHeight="1">
      <c r="A26" s="41"/>
      <c r="B26" s="200" t="str">
        <f>'305 e. Daniel'!C26</f>
        <v>Electricity</v>
      </c>
      <c r="C26" s="1"/>
      <c r="D26" s="54">
        <f>SUMIF('305 e. Daniel'!$D$2:$EE$2,'Proforma Summary'!D$4,'305 e. Daniel'!$D26:$EE26)</f>
        <v>-42210.26087</v>
      </c>
      <c r="E26" s="54">
        <f>SUMIF('305 e. Daniel'!$D$2:$EE$2,'Proforma Summary'!E$4,'305 e. Daniel'!$D26:$EE26)</f>
        <v>-43476.5687</v>
      </c>
      <c r="F26" s="54">
        <f>SUMIF('305 e. Daniel'!$D$2:$EE$2,'Proforma Summary'!F$4,'305 e. Daniel'!$D26:$EE26)</f>
        <v>-44780.86576</v>
      </c>
      <c r="G26" s="54">
        <f>SUMIF('305 e. Daniel'!$D$2:$EE$2,'Proforma Summary'!G$4,'305 e. Daniel'!$D26:$EE26)</f>
        <v>-46124.29173</v>
      </c>
      <c r="H26" s="54">
        <f>SUMIF('305 e. Daniel'!$D$2:$EE$2,'Proforma Summary'!H$4,'305 e. Daniel'!$D26:$EE26)</f>
        <v>-47508.02049</v>
      </c>
      <c r="I26" s="54">
        <f>SUMIF('305 e. Daniel'!$D$2:$EE$2,'Proforma Summary'!I$4,'305 e. Daniel'!$D26:$EE26)</f>
        <v>-48933.2611</v>
      </c>
      <c r="J26" s="54">
        <f>SUMIF('305 e. Daniel'!$D$2:$EE$2,'Proforma Summary'!J$4,'305 e. Daniel'!$D26:$EE26)</f>
        <v>-50401.25893</v>
      </c>
      <c r="K26" s="54">
        <f>SUMIF('305 e. Daniel'!$D$2:$EE$2,'Proforma Summary'!K$4,'305 e. Daniel'!$D26:$EE26)</f>
        <v>-51913.2967</v>
      </c>
      <c r="L26" s="54">
        <f>SUMIF('305 e. Daniel'!$D$2:$EE$2,'Proforma Summary'!L$4,'305 e. Daniel'!$D26:$EE26)</f>
        <v>-53470.6956</v>
      </c>
      <c r="M26" s="205">
        <f>SUMIF('305 e. Daniel'!$D$2:$EE$2,'Proforma Summary'!M$4,'305 e. Daniel'!$D26:$EE26)</f>
        <v>-55074.81647</v>
      </c>
      <c r="N26" s="41"/>
      <c r="O26" s="200" t="str">
        <f>'75 e. Armory'!C26</f>
        <v>Electricity</v>
      </c>
      <c r="P26" s="1"/>
      <c r="Q26" s="54">
        <f>SUMIF('75 e. Armory'!$D$2:$EE$2,'Proforma Summary'!Q$4,'75 e. Armory'!$D26:$EE27)</f>
        <v>-132648.5088</v>
      </c>
      <c r="R26" s="54">
        <f>SUMIF('75 e. Armory'!$D$2:$EE$2,'Proforma Summary'!R$4,'75 e. Armory'!$D26:$EE27)</f>
        <v>-136627.9641</v>
      </c>
      <c r="S26" s="54">
        <f>SUMIF('75 e. Armory'!$D$2:$EE$2,'Proforma Summary'!S$4,'75 e. Armory'!$D26:$EE27)</f>
        <v>-140726.803</v>
      </c>
      <c r="T26" s="54">
        <f>SUMIF('75 e. Armory'!$D$2:$EE$2,'Proforma Summary'!T$4,'75 e. Armory'!$D26:$EE27)</f>
        <v>-144948.6071</v>
      </c>
      <c r="U26" s="54">
        <f>SUMIF('75 e. Armory'!$D$2:$EE$2,'Proforma Summary'!U$4,'75 e. Armory'!$D26:$EE27)</f>
        <v>-149297.0653</v>
      </c>
      <c r="V26" s="54">
        <f>SUMIF('75 e. Armory'!$D$2:$EE$2,'Proforma Summary'!V$4,'75 e. Armory'!$D26:$EE27)</f>
        <v>-153775.9772</v>
      </c>
      <c r="W26" s="54">
        <f>SUMIF('75 e. Armory'!$D$2:$EE$2,'Proforma Summary'!W$4,'75 e. Armory'!$D26:$EE27)</f>
        <v>-158389.2566</v>
      </c>
      <c r="X26" s="54">
        <f>SUMIF('75 e. Armory'!$D$2:$EE$2,'Proforma Summary'!X$4,'75 e. Armory'!$D26:$EE27)</f>
        <v>-163140.9343</v>
      </c>
      <c r="Y26" s="54">
        <f>SUMIF('75 e. Armory'!$D$2:$EE$2,'Proforma Summary'!Y$4,'75 e. Armory'!$D26:$EE27)</f>
        <v>-168035.1623</v>
      </c>
      <c r="Z26" s="205">
        <f>SUMIF('75 e. Armory'!$D$2:$EE$2,'Proforma Summary'!Z$4,'75 e. Armory'!$D26:$EE27)</f>
        <v>-173076.2172</v>
      </c>
      <c r="AA26" s="41"/>
      <c r="AB26" s="200" t="str">
        <f t="shared" si="7"/>
        <v>Electricity</v>
      </c>
      <c r="AC26" s="1"/>
      <c r="AD26" s="54">
        <f>SUMIF('507 s. Second'!$D$2:$EE$2,'Proforma Summary'!AD$4,'507 s. Second'!$D26:$EE26)</f>
        <v>-87214.3848</v>
      </c>
      <c r="AE26" s="54">
        <f>SUMIF('507 s. Second'!$D$2:$EE$2,'Proforma Summary'!AE$4,'507 s. Second'!$D26:$EE26)</f>
        <v>-89830.81634</v>
      </c>
      <c r="AF26" s="54">
        <f>SUMIF('507 s. Second'!$D$2:$EE$2,'Proforma Summary'!AF$4,'507 s. Second'!$D26:$EE26)</f>
        <v>-92525.74083</v>
      </c>
      <c r="AG26" s="54">
        <f>SUMIF('507 s. Second'!$D$2:$EE$2,'Proforma Summary'!AG$4,'507 s. Second'!$D26:$EE26)</f>
        <v>-95301.51306</v>
      </c>
      <c r="AH26" s="54">
        <f>SUMIF('507 s. Second'!$D$2:$EE$2,'Proforma Summary'!AH$4,'507 s. Second'!$D26:$EE26)</f>
        <v>-98160.55845</v>
      </c>
      <c r="AI26" s="54">
        <f>SUMIF('507 s. Second'!$D$2:$EE$2,'Proforma Summary'!AI$4,'507 s. Second'!$D26:$EE26)</f>
        <v>-101105.3752</v>
      </c>
      <c r="AJ26" s="54">
        <f>SUMIF('507 s. Second'!$D$2:$EE$2,'Proforma Summary'!AJ$4,'507 s. Second'!$D26:$EE26)</f>
        <v>-104138.5365</v>
      </c>
      <c r="AK26" s="54">
        <f>SUMIF('507 s. Second'!$D$2:$EE$2,'Proforma Summary'!AK$4,'507 s. Second'!$D26:$EE26)</f>
        <v>-107262.6926</v>
      </c>
      <c r="AL26" s="54">
        <f>SUMIF('507 s. Second'!$D$2:$EE$2,'Proforma Summary'!AL$4,'507 s. Second'!$D26:$EE26)</f>
        <v>-110480.5733</v>
      </c>
      <c r="AM26" s="205">
        <f>SUMIF('507 s. Second'!$D$2:$EE$2,'Proforma Summary'!AM$4,'507 s. Second'!$D26:$EE26)</f>
        <v>-113794.9905</v>
      </c>
      <c r="AN26" s="41"/>
      <c r="AO26" s="200" t="str">
        <f t="shared" si="8"/>
        <v>Electricity</v>
      </c>
      <c r="AP26" s="1"/>
      <c r="AQ26" s="54">
        <f>SUMIF('901 w. Western'!$D$2:$EE$2,'Proforma Summary'!AQ$4,'901 w. Western'!$D26:$EE26)</f>
        <v>-147621.763</v>
      </c>
      <c r="AR26" s="54">
        <f>SUMIF('901 w. Western'!$D$2:$EE$2,'Proforma Summary'!AR$4,'901 w. Western'!$D26:$EE26)</f>
        <v>-152050.4159</v>
      </c>
      <c r="AS26" s="54">
        <f>SUMIF('901 w. Western'!$D$2:$EE$2,'Proforma Summary'!AS$4,'901 w. Western'!$D26:$EE26)</f>
        <v>-156611.9284</v>
      </c>
      <c r="AT26" s="54">
        <f>SUMIF('901 w. Western'!$D$2:$EE$2,'Proforma Summary'!AT$4,'901 w. Western'!$D26:$EE26)</f>
        <v>-161310.2862</v>
      </c>
      <c r="AU26" s="54">
        <f>SUMIF('901 w. Western'!$D$2:$EE$2,'Proforma Summary'!AU$4,'901 w. Western'!$D26:$EE26)</f>
        <v>-166149.5948</v>
      </c>
      <c r="AV26" s="54">
        <f>SUMIF('901 w. Western'!$D$2:$EE$2,'Proforma Summary'!AV$4,'901 w. Western'!$D26:$EE26)</f>
        <v>-171134.0826</v>
      </c>
      <c r="AW26" s="54">
        <f>SUMIF('901 w. Western'!$D$2:$EE$2,'Proforma Summary'!AW$4,'901 w. Western'!$D26:$EE26)</f>
        <v>-176268.1051</v>
      </c>
      <c r="AX26" s="54">
        <f>SUMIF('901 w. Western'!$D$2:$EE$2,'Proforma Summary'!AX$4,'901 w. Western'!$D26:$EE26)</f>
        <v>-181556.1483</v>
      </c>
      <c r="AY26" s="54">
        <f>SUMIF('901 w. Western'!$D$2:$EE$2,'Proforma Summary'!AY$4,'901 w. Western'!$D26:$EE26)</f>
        <v>-187002.8327</v>
      </c>
      <c r="AZ26" s="205">
        <f>SUMIF('901 w. Western'!$D$2:$EE$2,'Proforma Summary'!AZ$4,'901 w. Western'!$D26:$EE26)</f>
        <v>-192612.9177</v>
      </c>
    </row>
    <row r="27" ht="15.75" customHeight="1">
      <c r="A27" s="41"/>
      <c r="B27" s="200" t="str">
        <f>'305 e. Daniel'!C27</f>
        <v>Other Utilities</v>
      </c>
      <c r="C27" s="1"/>
      <c r="D27" s="54">
        <f>SUMIF('305 e. Daniel'!$D$2:$EE$2,'Proforma Summary'!D$4,'305 e. Daniel'!$D27:$EE27)</f>
        <v>-22861.0045</v>
      </c>
      <c r="E27" s="54">
        <f>SUMIF('305 e. Daniel'!$D$2:$EE$2,'Proforma Summary'!E$4,'305 e. Daniel'!$D27:$EE27)</f>
        <v>-23546.83464</v>
      </c>
      <c r="F27" s="54">
        <f>SUMIF('305 e. Daniel'!$D$2:$EE$2,'Proforma Summary'!F$4,'305 e. Daniel'!$D27:$EE27)</f>
        <v>-24253.23967</v>
      </c>
      <c r="G27" s="54">
        <f>SUMIF('305 e. Daniel'!$D$2:$EE$2,'Proforma Summary'!G$4,'305 e. Daniel'!$D27:$EE27)</f>
        <v>-24980.83686</v>
      </c>
      <c r="H27" s="54">
        <f>SUMIF('305 e. Daniel'!$D$2:$EE$2,'Proforma Summary'!H$4,'305 e. Daniel'!$D27:$EE27)</f>
        <v>-25730.26197</v>
      </c>
      <c r="I27" s="54">
        <f>SUMIF('305 e. Daniel'!$D$2:$EE$2,'Proforma Summary'!I$4,'305 e. Daniel'!$D27:$EE27)</f>
        <v>-26502.16983</v>
      </c>
      <c r="J27" s="54">
        <f>SUMIF('305 e. Daniel'!$D$2:$EE$2,'Proforma Summary'!J$4,'305 e. Daniel'!$D27:$EE27)</f>
        <v>-27297.23492</v>
      </c>
      <c r="K27" s="54">
        <f>SUMIF('305 e. Daniel'!$D$2:$EE$2,'Proforma Summary'!K$4,'305 e. Daniel'!$D27:$EE27)</f>
        <v>-28116.15197</v>
      </c>
      <c r="L27" s="54">
        <f>SUMIF('305 e. Daniel'!$D$2:$EE$2,'Proforma Summary'!L$4,'305 e. Daniel'!$D27:$EE27)</f>
        <v>-28959.63653</v>
      </c>
      <c r="M27" s="205">
        <f>SUMIF('305 e. Daniel'!$D$2:$EE$2,'Proforma Summary'!M$4,'305 e. Daniel'!$D27:$EE27)</f>
        <v>-29828.42563</v>
      </c>
      <c r="N27" s="41"/>
      <c r="O27" s="200" t="str">
        <f>'75 e. Armory'!C27</f>
        <v>Other Utilities</v>
      </c>
      <c r="P27" s="1"/>
      <c r="Q27" s="54">
        <f>SUMIF('75 e. Armory'!$D$2:$EE$2,'Proforma Summary'!Q$4,'75 e. Armory'!$D27:$EE28)</f>
        <v>-90440.5508</v>
      </c>
      <c r="R27" s="54">
        <f>SUMIF('75 e. Armory'!$D$2:$EE$2,'Proforma Summary'!R$4,'75 e. Armory'!$D27:$EE28)</f>
        <v>-93153.76732</v>
      </c>
      <c r="S27" s="54">
        <f>SUMIF('75 e. Armory'!$D$2:$EE$2,'Proforma Summary'!S$4,'75 e. Armory'!$D27:$EE28)</f>
        <v>-95948.38034</v>
      </c>
      <c r="T27" s="54">
        <f>SUMIF('75 e. Armory'!$D$2:$EE$2,'Proforma Summary'!T$4,'75 e. Armory'!$D27:$EE28)</f>
        <v>-98826.83175</v>
      </c>
      <c r="U27" s="54">
        <f>SUMIF('75 e. Armory'!$D$2:$EE$2,'Proforma Summary'!U$4,'75 e. Armory'!$D27:$EE28)</f>
        <v>-101791.6367</v>
      </c>
      <c r="V27" s="54">
        <f>SUMIF('75 e. Armory'!$D$2:$EE$2,'Proforma Summary'!V$4,'75 e. Armory'!$D27:$EE28)</f>
        <v>-104845.3858</v>
      </c>
      <c r="W27" s="54">
        <f>SUMIF('75 e. Armory'!$D$2:$EE$2,'Proforma Summary'!W$4,'75 e. Armory'!$D27:$EE28)</f>
        <v>-107990.7474</v>
      </c>
      <c r="X27" s="54">
        <f>SUMIF('75 e. Armory'!$D$2:$EE$2,'Proforma Summary'!X$4,'75 e. Armory'!$D27:$EE28)</f>
        <v>-111230.4698</v>
      </c>
      <c r="Y27" s="54">
        <f>SUMIF('75 e. Armory'!$D$2:$EE$2,'Proforma Summary'!Y$4,'75 e. Armory'!$D27:$EE28)</f>
        <v>-114567.3839</v>
      </c>
      <c r="Z27" s="205">
        <f>SUMIF('75 e. Armory'!$D$2:$EE$2,'Proforma Summary'!Z$4,'75 e. Armory'!$D27:$EE28)</f>
        <v>-118004.4054</v>
      </c>
      <c r="AA27" s="41"/>
      <c r="AB27" s="200" t="str">
        <f t="shared" si="7"/>
        <v>Other Utilities</v>
      </c>
      <c r="AC27" s="1"/>
      <c r="AD27" s="54">
        <f>SUMIF('507 s. Second'!$D$2:$EE$2,'Proforma Summary'!AD$4,'507 s. Second'!$D27:$EE27)</f>
        <v>-54414.6013</v>
      </c>
      <c r="AE27" s="54">
        <f>SUMIF('507 s. Second'!$D$2:$EE$2,'Proforma Summary'!AE$4,'507 s. Second'!$D27:$EE27)</f>
        <v>-56047.03934</v>
      </c>
      <c r="AF27" s="54">
        <f>SUMIF('507 s. Second'!$D$2:$EE$2,'Proforma Summary'!AF$4,'507 s. Second'!$D27:$EE27)</f>
        <v>-57728.45052</v>
      </c>
      <c r="AG27" s="54">
        <f>SUMIF('507 s. Second'!$D$2:$EE$2,'Proforma Summary'!AG$4,'507 s. Second'!$D27:$EE27)</f>
        <v>-59460.30403</v>
      </c>
      <c r="AH27" s="54">
        <f>SUMIF('507 s. Second'!$D$2:$EE$2,'Proforma Summary'!AH$4,'507 s. Second'!$D27:$EE27)</f>
        <v>-61244.11316</v>
      </c>
      <c r="AI27" s="54">
        <f>SUMIF('507 s. Second'!$D$2:$EE$2,'Proforma Summary'!AI$4,'507 s. Second'!$D27:$EE27)</f>
        <v>-63081.43655</v>
      </c>
      <c r="AJ27" s="54">
        <f>SUMIF('507 s. Second'!$D$2:$EE$2,'Proforma Summary'!AJ$4,'507 s. Second'!$D27:$EE27)</f>
        <v>-64973.87965</v>
      </c>
      <c r="AK27" s="54">
        <f>SUMIF('507 s. Second'!$D$2:$EE$2,'Proforma Summary'!AK$4,'507 s. Second'!$D27:$EE27)</f>
        <v>-66923.09604</v>
      </c>
      <c r="AL27" s="54">
        <f>SUMIF('507 s. Second'!$D$2:$EE$2,'Proforma Summary'!AL$4,'507 s. Second'!$D27:$EE27)</f>
        <v>-68930.78892</v>
      </c>
      <c r="AM27" s="205">
        <f>SUMIF('507 s. Second'!$D$2:$EE$2,'Proforma Summary'!AM$4,'507 s. Second'!$D27:$EE27)</f>
        <v>-70998.71259</v>
      </c>
      <c r="AN27" s="41"/>
      <c r="AO27" s="200" t="str">
        <f t="shared" si="8"/>
        <v>Other Utilities</v>
      </c>
      <c r="AP27" s="1"/>
      <c r="AQ27" s="54">
        <f>SUMIF('901 w. Western'!$D$2:$EE$2,'Proforma Summary'!AQ$4,'901 w. Western'!$D27:$EE27)</f>
        <v>-90943.2114</v>
      </c>
      <c r="AR27" s="54">
        <f>SUMIF('901 w. Western'!$D$2:$EE$2,'Proforma Summary'!AR$4,'901 w. Western'!$D27:$EE27)</f>
        <v>-93671.50774</v>
      </c>
      <c r="AS27" s="54">
        <f>SUMIF('901 w. Western'!$D$2:$EE$2,'Proforma Summary'!AS$4,'901 w. Western'!$D27:$EE27)</f>
        <v>-96481.65297</v>
      </c>
      <c r="AT27" s="54">
        <f>SUMIF('901 w. Western'!$D$2:$EE$2,'Proforma Summary'!AT$4,'901 w. Western'!$D27:$EE27)</f>
        <v>-99376.10256</v>
      </c>
      <c r="AU27" s="54">
        <f>SUMIF('901 w. Western'!$D$2:$EE$2,'Proforma Summary'!AU$4,'901 w. Western'!$D27:$EE27)</f>
        <v>-102357.3856</v>
      </c>
      <c r="AV27" s="54">
        <f>SUMIF('901 w. Western'!$D$2:$EE$2,'Proforma Summary'!AV$4,'901 w. Western'!$D27:$EE27)</f>
        <v>-105428.1072</v>
      </c>
      <c r="AW27" s="54">
        <f>SUMIF('901 w. Western'!$D$2:$EE$2,'Proforma Summary'!AW$4,'901 w. Western'!$D27:$EE27)</f>
        <v>-108590.9504</v>
      </c>
      <c r="AX27" s="54">
        <f>SUMIF('901 w. Western'!$D$2:$EE$2,'Proforma Summary'!AX$4,'901 w. Western'!$D27:$EE27)</f>
        <v>-111848.6789</v>
      </c>
      <c r="AY27" s="54">
        <f>SUMIF('901 w. Western'!$D$2:$EE$2,'Proforma Summary'!AY$4,'901 w. Western'!$D27:$EE27)</f>
        <v>-115204.1393</v>
      </c>
      <c r="AZ27" s="205">
        <f>SUMIF('901 w. Western'!$D$2:$EE$2,'Proforma Summary'!AZ$4,'901 w. Western'!$D27:$EE27)</f>
        <v>-118660.2635</v>
      </c>
    </row>
    <row r="28" ht="15.75" customHeight="1">
      <c r="A28" s="41"/>
      <c r="B28" s="200" t="str">
        <f>'305 e. Daniel'!C28</f>
        <v>Marketing</v>
      </c>
      <c r="C28" s="1"/>
      <c r="D28" s="54">
        <f>SUMIF('305 e. Daniel'!$D$2:$EE$2,'Proforma Summary'!D$4,'305 e. Daniel'!$D28:$EE28)</f>
        <v>-6707.8956</v>
      </c>
      <c r="E28" s="54">
        <f>SUMIF('305 e. Daniel'!$D$2:$EE$2,'Proforma Summary'!E$4,'305 e. Daniel'!$D28:$EE28)</f>
        <v>-6909.132468</v>
      </c>
      <c r="F28" s="54">
        <f>SUMIF('305 e. Daniel'!$D$2:$EE$2,'Proforma Summary'!F$4,'305 e. Daniel'!$D28:$EE28)</f>
        <v>-7116.406442</v>
      </c>
      <c r="G28" s="54">
        <f>SUMIF('305 e. Daniel'!$D$2:$EE$2,'Proforma Summary'!G$4,'305 e. Daniel'!$D28:$EE28)</f>
        <v>-7329.898635</v>
      </c>
      <c r="H28" s="54">
        <f>SUMIF('305 e. Daniel'!$D$2:$EE$2,'Proforma Summary'!H$4,'305 e. Daniel'!$D28:$EE28)</f>
        <v>-7549.795594</v>
      </c>
      <c r="I28" s="54">
        <f>SUMIF('305 e. Daniel'!$D$2:$EE$2,'Proforma Summary'!I$4,'305 e. Daniel'!$D28:$EE28)</f>
        <v>-7776.289462</v>
      </c>
      <c r="J28" s="54">
        <f>SUMIF('305 e. Daniel'!$D$2:$EE$2,'Proforma Summary'!J$4,'305 e. Daniel'!$D28:$EE28)</f>
        <v>-8009.578146</v>
      </c>
      <c r="K28" s="54">
        <f>SUMIF('305 e. Daniel'!$D$2:$EE$2,'Proforma Summary'!K$4,'305 e. Daniel'!$D28:$EE28)</f>
        <v>-8249.86549</v>
      </c>
      <c r="L28" s="54">
        <f>SUMIF('305 e. Daniel'!$D$2:$EE$2,'Proforma Summary'!L$4,'305 e. Daniel'!$D28:$EE28)</f>
        <v>-8497.361455</v>
      </c>
      <c r="M28" s="205">
        <f>SUMIF('305 e. Daniel'!$D$2:$EE$2,'Proforma Summary'!M$4,'305 e. Daniel'!$D28:$EE28)</f>
        <v>-8752.282299</v>
      </c>
      <c r="N28" s="41"/>
      <c r="O28" s="200" t="str">
        <f>'75 e. Armory'!C28</f>
        <v>Marketing</v>
      </c>
      <c r="P28" s="1"/>
      <c r="Q28" s="54">
        <f>SUMIF('75 e. Armory'!$D$2:$EE$2,'Proforma Summary'!Q$4,'75 e. Armory'!$D28:$EE29)</f>
        <v>-27175.0565</v>
      </c>
      <c r="R28" s="54">
        <f>SUMIF('75 e. Armory'!$D$2:$EE$2,'Proforma Summary'!R$4,'75 e. Armory'!$D28:$EE29)</f>
        <v>-27990.3082</v>
      </c>
      <c r="S28" s="54">
        <f>SUMIF('75 e. Armory'!$D$2:$EE$2,'Proforma Summary'!S$4,'75 e. Armory'!$D28:$EE29)</f>
        <v>-28830.01744</v>
      </c>
      <c r="T28" s="54">
        <f>SUMIF('75 e. Armory'!$D$2:$EE$2,'Proforma Summary'!T$4,'75 e. Armory'!$D28:$EE29)</f>
        <v>-29694.91796</v>
      </c>
      <c r="U28" s="54">
        <f>SUMIF('75 e. Armory'!$D$2:$EE$2,'Proforma Summary'!U$4,'75 e. Armory'!$D28:$EE29)</f>
        <v>-30585.7655</v>
      </c>
      <c r="V28" s="54">
        <f>SUMIF('75 e. Armory'!$D$2:$EE$2,'Proforma Summary'!V$4,'75 e. Armory'!$D28:$EE29)</f>
        <v>-31503.33847</v>
      </c>
      <c r="W28" s="54">
        <f>SUMIF('75 e. Armory'!$D$2:$EE$2,'Proforma Summary'!W$4,'75 e. Armory'!$D28:$EE29)</f>
        <v>-32448.43862</v>
      </c>
      <c r="X28" s="54">
        <f>SUMIF('75 e. Armory'!$D$2:$EE$2,'Proforma Summary'!X$4,'75 e. Armory'!$D28:$EE29)</f>
        <v>-33421.89178</v>
      </c>
      <c r="Y28" s="54">
        <f>SUMIF('75 e. Armory'!$D$2:$EE$2,'Proforma Summary'!Y$4,'75 e. Armory'!$D28:$EE29)</f>
        <v>-34424.54853</v>
      </c>
      <c r="Z28" s="205">
        <f>SUMIF('75 e. Armory'!$D$2:$EE$2,'Proforma Summary'!Z$4,'75 e. Armory'!$D28:$EE29)</f>
        <v>-35457.28499</v>
      </c>
      <c r="AA28" s="41"/>
      <c r="AB28" s="200" t="str">
        <f t="shared" si="7"/>
        <v>Marketing</v>
      </c>
      <c r="AC28" s="1"/>
      <c r="AD28" s="54">
        <f>SUMIF('507 s. Second'!$D$2:$EE$2,'Proforma Summary'!AD$4,'507 s. Second'!$D28:$EE28)</f>
        <v>-15807.3688</v>
      </c>
      <c r="AE28" s="54">
        <f>SUMIF('507 s. Second'!$D$2:$EE$2,'Proforma Summary'!AE$4,'507 s. Second'!$D28:$EE28)</f>
        <v>-16281.58986</v>
      </c>
      <c r="AF28" s="54">
        <f>SUMIF('507 s. Second'!$D$2:$EE$2,'Proforma Summary'!AF$4,'507 s. Second'!$D28:$EE28)</f>
        <v>-16770.03756</v>
      </c>
      <c r="AG28" s="54">
        <f>SUMIF('507 s. Second'!$D$2:$EE$2,'Proforma Summary'!AG$4,'507 s. Second'!$D28:$EE28)</f>
        <v>-17273.13869</v>
      </c>
      <c r="AH28" s="54">
        <f>SUMIF('507 s. Second'!$D$2:$EE$2,'Proforma Summary'!AH$4,'507 s. Second'!$D28:$EE28)</f>
        <v>-17791.33285</v>
      </c>
      <c r="AI28" s="54">
        <f>SUMIF('507 s. Second'!$D$2:$EE$2,'Proforma Summary'!AI$4,'507 s. Second'!$D28:$EE28)</f>
        <v>-18325.07283</v>
      </c>
      <c r="AJ28" s="54">
        <f>SUMIF('507 s. Second'!$D$2:$EE$2,'Proforma Summary'!AJ$4,'507 s. Second'!$D28:$EE28)</f>
        <v>-18874.82502</v>
      </c>
      <c r="AK28" s="54">
        <f>SUMIF('507 s. Second'!$D$2:$EE$2,'Proforma Summary'!AK$4,'507 s. Second'!$D28:$EE28)</f>
        <v>-19441.06977</v>
      </c>
      <c r="AL28" s="54">
        <f>SUMIF('507 s. Second'!$D$2:$EE$2,'Proforma Summary'!AL$4,'507 s. Second'!$D28:$EE28)</f>
        <v>-20024.30186</v>
      </c>
      <c r="AM28" s="205">
        <f>SUMIF('507 s. Second'!$D$2:$EE$2,'Proforma Summary'!AM$4,'507 s. Second'!$D28:$EE28)</f>
        <v>-20625.03092</v>
      </c>
      <c r="AN28" s="41"/>
      <c r="AO28" s="200" t="str">
        <f t="shared" si="8"/>
        <v>Marketing</v>
      </c>
      <c r="AP28" s="1"/>
      <c r="AQ28" s="54">
        <f>SUMIF('901 w. Western'!$D$2:$EE$2,'Proforma Summary'!AQ$4,'901 w. Western'!$D28:$EE28)</f>
        <v>-23534.5627</v>
      </c>
      <c r="AR28" s="54">
        <f>SUMIF('901 w. Western'!$D$2:$EE$2,'Proforma Summary'!AR$4,'901 w. Western'!$D28:$EE28)</f>
        <v>-24240.59958</v>
      </c>
      <c r="AS28" s="54">
        <f>SUMIF('901 w. Western'!$D$2:$EE$2,'Proforma Summary'!AS$4,'901 w. Western'!$D28:$EE28)</f>
        <v>-24967.81757</v>
      </c>
      <c r="AT28" s="54">
        <f>SUMIF('901 w. Western'!$D$2:$EE$2,'Proforma Summary'!AT$4,'901 w. Western'!$D28:$EE28)</f>
        <v>-25716.8521</v>
      </c>
      <c r="AU28" s="54">
        <f>SUMIF('901 w. Western'!$D$2:$EE$2,'Proforma Summary'!AU$4,'901 w. Western'!$D28:$EE28)</f>
        <v>-26488.35766</v>
      </c>
      <c r="AV28" s="54">
        <f>SUMIF('901 w. Western'!$D$2:$EE$2,'Proforma Summary'!AV$4,'901 w. Western'!$D28:$EE28)</f>
        <v>-27283.00839</v>
      </c>
      <c r="AW28" s="54">
        <f>SUMIF('901 w. Western'!$D$2:$EE$2,'Proforma Summary'!AW$4,'901 w. Western'!$D28:$EE28)</f>
        <v>-28101.49864</v>
      </c>
      <c r="AX28" s="54">
        <f>SUMIF('901 w. Western'!$D$2:$EE$2,'Proforma Summary'!AX$4,'901 w. Western'!$D28:$EE28)</f>
        <v>-28944.5436</v>
      </c>
      <c r="AY28" s="54">
        <f>SUMIF('901 w. Western'!$D$2:$EE$2,'Proforma Summary'!AY$4,'901 w. Western'!$D28:$EE28)</f>
        <v>-29812.87991</v>
      </c>
      <c r="AZ28" s="205">
        <f>SUMIF('901 w. Western'!$D$2:$EE$2,'Proforma Summary'!AZ$4,'901 w. Western'!$D28:$EE28)</f>
        <v>-30707.2663</v>
      </c>
    </row>
    <row r="29" ht="15.75" customHeight="1">
      <c r="A29" s="41"/>
      <c r="B29" s="200" t="str">
        <f>'305 e. Daniel'!C29</f>
        <v>Management Fee</v>
      </c>
      <c r="C29" s="1"/>
      <c r="D29" s="54">
        <f>SUMIF('305 e. Daniel'!$D$2:$EE$2,'Proforma Summary'!D$4,'305 e. Daniel'!$D29:$EE29)</f>
        <v>-17760.48279</v>
      </c>
      <c r="E29" s="54">
        <f>SUMIF('305 e. Daniel'!$D$2:$EE$2,'Proforma Summary'!E$4,'305 e. Daniel'!$D29:$EE29)</f>
        <v>-18883.40363</v>
      </c>
      <c r="F29" s="54">
        <f>SUMIF('305 e. Daniel'!$D$2:$EE$2,'Proforma Summary'!F$4,'305 e. Daniel'!$D29:$EE29)</f>
        <v>-19449.90574</v>
      </c>
      <c r="G29" s="54">
        <f>SUMIF('305 e. Daniel'!$D$2:$EE$2,'Proforma Summary'!G$4,'305 e. Daniel'!$D29:$EE29)</f>
        <v>-20033.40292</v>
      </c>
      <c r="H29" s="54">
        <f>SUMIF('305 e. Daniel'!$D$2:$EE$2,'Proforma Summary'!H$4,'305 e. Daniel'!$D29:$EE29)</f>
        <v>-20634.405</v>
      </c>
      <c r="I29" s="54">
        <f>SUMIF('305 e. Daniel'!$D$2:$EE$2,'Proforma Summary'!I$4,'305 e. Daniel'!$D29:$EE29)</f>
        <v>-21253.43715</v>
      </c>
      <c r="J29" s="54">
        <f>SUMIF('305 e. Daniel'!$D$2:$EE$2,'Proforma Summary'!J$4,'305 e. Daniel'!$D29:$EE29)</f>
        <v>-21891.04027</v>
      </c>
      <c r="K29" s="54">
        <f>SUMIF('305 e. Daniel'!$D$2:$EE$2,'Proforma Summary'!K$4,'305 e. Daniel'!$D29:$EE29)</f>
        <v>-22547.77148</v>
      </c>
      <c r="L29" s="54">
        <f>SUMIF('305 e. Daniel'!$D$2:$EE$2,'Proforma Summary'!L$4,'305 e. Daniel'!$D29:$EE29)</f>
        <v>-23224.20462</v>
      </c>
      <c r="M29" s="205">
        <f>SUMIF('305 e. Daniel'!$D$2:$EE$2,'Proforma Summary'!M$4,'305 e. Daniel'!$D29:$EE29)</f>
        <v>-23920.93076</v>
      </c>
      <c r="N29" s="41"/>
      <c r="O29" s="200" t="str">
        <f>'75 e. Armory'!C29</f>
        <v>Management Fee</v>
      </c>
      <c r="P29" s="1"/>
      <c r="Q29" s="54">
        <f>SUMIF('75 e. Armory'!$D$2:$EE$2,'Proforma Summary'!Q$4,'75 e. Armory'!$D29:$EE30)</f>
        <v>-61512.23015</v>
      </c>
      <c r="R29" s="54">
        <f>SUMIF('75 e. Armory'!$D$2:$EE$2,'Proforma Summary'!R$4,'75 e. Armory'!$D29:$EE30)</f>
        <v>-65401.39051</v>
      </c>
      <c r="S29" s="54">
        <f>SUMIF('75 e. Armory'!$D$2:$EE$2,'Proforma Summary'!S$4,'75 e. Armory'!$D29:$EE30)</f>
        <v>-67363.43223</v>
      </c>
      <c r="T29" s="54">
        <f>SUMIF('75 e. Armory'!$D$2:$EE$2,'Proforma Summary'!T$4,'75 e. Armory'!$D29:$EE30)</f>
        <v>-69384.33519</v>
      </c>
      <c r="U29" s="54">
        <f>SUMIF('75 e. Armory'!$D$2:$EE$2,'Proforma Summary'!U$4,'75 e. Armory'!$D29:$EE30)</f>
        <v>-71465.86525</v>
      </c>
      <c r="V29" s="54">
        <f>SUMIF('75 e. Armory'!$D$2:$EE$2,'Proforma Summary'!V$4,'75 e. Armory'!$D29:$EE30)</f>
        <v>-73609.84121</v>
      </c>
      <c r="W29" s="54">
        <f>SUMIF('75 e. Armory'!$D$2:$EE$2,'Proforma Summary'!W$4,'75 e. Armory'!$D29:$EE30)</f>
        <v>-75818.13644</v>
      </c>
      <c r="X29" s="54">
        <f>SUMIF('75 e. Armory'!$D$2:$EE$2,'Proforma Summary'!X$4,'75 e. Armory'!$D29:$EE30)</f>
        <v>-78092.68054</v>
      </c>
      <c r="Y29" s="54">
        <f>SUMIF('75 e. Armory'!$D$2:$EE$2,'Proforma Summary'!Y$4,'75 e. Armory'!$D29:$EE30)</f>
        <v>-80435.46095</v>
      </c>
      <c r="Z29" s="205">
        <f>SUMIF('75 e. Armory'!$D$2:$EE$2,'Proforma Summary'!Z$4,'75 e. Armory'!$D29:$EE30)</f>
        <v>-82848.52478</v>
      </c>
      <c r="AA29" s="41"/>
      <c r="AB29" s="200" t="str">
        <f t="shared" si="7"/>
        <v>Management Fee</v>
      </c>
      <c r="AC29" s="1"/>
      <c r="AD29" s="54">
        <f>SUMIF('507 s. Second'!$D$2:$EE$2,'Proforma Summary'!AD$4,'507 s. Second'!$D29:$EE29)</f>
        <v>-36785.06123</v>
      </c>
      <c r="AE29" s="54">
        <f>SUMIF('507 s. Second'!$D$2:$EE$2,'Proforma Summary'!AE$4,'507 s. Second'!$D29:$EE29)</f>
        <v>-39110.82639</v>
      </c>
      <c r="AF29" s="54">
        <f>SUMIF('507 s. Second'!$D$2:$EE$2,'Proforma Summary'!AF$4,'507 s. Second'!$D29:$EE29)</f>
        <v>-40284.15118</v>
      </c>
      <c r="AG29" s="54">
        <f>SUMIF('507 s. Second'!$D$2:$EE$2,'Proforma Summary'!AG$4,'507 s. Second'!$D29:$EE29)</f>
        <v>-41492.67572</v>
      </c>
      <c r="AH29" s="54">
        <f>SUMIF('507 s. Second'!$D$2:$EE$2,'Proforma Summary'!AH$4,'507 s. Second'!$D29:$EE29)</f>
        <v>-42737.45599</v>
      </c>
      <c r="AI29" s="54">
        <f>SUMIF('507 s. Second'!$D$2:$EE$2,'Proforma Summary'!AI$4,'507 s. Second'!$D29:$EE29)</f>
        <v>-44019.57967</v>
      </c>
      <c r="AJ29" s="54">
        <f>SUMIF('507 s. Second'!$D$2:$EE$2,'Proforma Summary'!AJ$4,'507 s. Second'!$D29:$EE29)</f>
        <v>-45340.16706</v>
      </c>
      <c r="AK29" s="54">
        <f>SUMIF('507 s. Second'!$D$2:$EE$2,'Proforma Summary'!AK$4,'507 s. Second'!$D29:$EE29)</f>
        <v>-46700.37207</v>
      </c>
      <c r="AL29" s="54">
        <f>SUMIF('507 s. Second'!$D$2:$EE$2,'Proforma Summary'!AL$4,'507 s. Second'!$D29:$EE29)</f>
        <v>-48101.38323</v>
      </c>
      <c r="AM29" s="205">
        <f>SUMIF('507 s. Second'!$D$2:$EE$2,'Proforma Summary'!AM$4,'507 s. Second'!$D29:$EE29)</f>
        <v>-47996.16146</v>
      </c>
      <c r="AN29" s="41"/>
      <c r="AO29" s="200" t="str">
        <f t="shared" si="8"/>
        <v>Management Fee</v>
      </c>
      <c r="AP29" s="1"/>
      <c r="AQ29" s="54">
        <f>SUMIF('901 w. Western'!$D$2:$EE$2,'Proforma Summary'!AQ$4,'901 w. Western'!$D29:$EE29)</f>
        <v>-62364.60216</v>
      </c>
      <c r="AR29" s="54">
        <f>SUMIF('901 w. Western'!$D$2:$EE$2,'Proforma Summary'!AR$4,'901 w. Western'!$D29:$EE29)</f>
        <v>-66307.65443</v>
      </c>
      <c r="AS29" s="54">
        <f>SUMIF('901 w. Western'!$D$2:$EE$2,'Proforma Summary'!AS$4,'901 w. Western'!$D29:$EE29)</f>
        <v>-68296.88406</v>
      </c>
      <c r="AT29" s="54">
        <f>SUMIF('901 w. Western'!$D$2:$EE$2,'Proforma Summary'!AT$4,'901 w. Western'!$D29:$EE29)</f>
        <v>-70345.79058</v>
      </c>
      <c r="AU29" s="54">
        <f>SUMIF('901 w. Western'!$D$2:$EE$2,'Proforma Summary'!AU$4,'901 w. Western'!$D29:$EE29)</f>
        <v>-72456.1643</v>
      </c>
      <c r="AV29" s="54">
        <f>SUMIF('901 w. Western'!$D$2:$EE$2,'Proforma Summary'!AV$4,'901 w. Western'!$D29:$EE29)</f>
        <v>-74629.84923</v>
      </c>
      <c r="AW29" s="54">
        <f>SUMIF('901 w. Western'!$D$2:$EE$2,'Proforma Summary'!AW$4,'901 w. Western'!$D29:$EE29)</f>
        <v>-76868.7447</v>
      </c>
      <c r="AX29" s="54">
        <f>SUMIF('901 w. Western'!$D$2:$EE$2,'Proforma Summary'!AX$4,'901 w. Western'!$D29:$EE29)</f>
        <v>-79174.80704</v>
      </c>
      <c r="AY29" s="54">
        <f>SUMIF('901 w. Western'!$D$2:$EE$2,'Proforma Summary'!AY$4,'901 w. Western'!$D29:$EE29)</f>
        <v>-81550.05126</v>
      </c>
      <c r="AZ29" s="205">
        <f>SUMIF('901 w. Western'!$D$2:$EE$2,'Proforma Summary'!AZ$4,'901 w. Western'!$D29:$EE29)</f>
        <v>-81371.66052</v>
      </c>
    </row>
    <row r="30" ht="15.75" customHeight="1">
      <c r="A30" s="41"/>
      <c r="B30" s="200" t="str">
        <f>'305 e. Daniel'!C30</f>
        <v>Contract Services</v>
      </c>
      <c r="C30" s="1"/>
      <c r="D30" s="54">
        <f>SUMIF('305 e. Daniel'!$D$2:$EE$2,'Proforma Summary'!D$4,'305 e. Daniel'!$D30:$EE30)</f>
        <v>-11333.8213</v>
      </c>
      <c r="E30" s="54">
        <f>SUMIF('305 e. Daniel'!$D$2:$EE$2,'Proforma Summary'!E$4,'305 e. Daniel'!$D30:$EE30)</f>
        <v>-11673.83594</v>
      </c>
      <c r="F30" s="54">
        <f>SUMIF('305 e. Daniel'!$D$2:$EE$2,'Proforma Summary'!F$4,'305 e. Daniel'!$D30:$EE30)</f>
        <v>-12024.05102</v>
      </c>
      <c r="G30" s="54">
        <f>SUMIF('305 e. Daniel'!$D$2:$EE$2,'Proforma Summary'!G$4,'305 e. Daniel'!$D30:$EE30)</f>
        <v>-12384.77255</v>
      </c>
      <c r="H30" s="54">
        <f>SUMIF('305 e. Daniel'!$D$2:$EE$2,'Proforma Summary'!H$4,'305 e. Daniel'!$D30:$EE30)</f>
        <v>-12756.31572</v>
      </c>
      <c r="I30" s="54">
        <f>SUMIF('305 e. Daniel'!$D$2:$EE$2,'Proforma Summary'!I$4,'305 e. Daniel'!$D30:$EE30)</f>
        <v>-13139.0052</v>
      </c>
      <c r="J30" s="54">
        <f>SUMIF('305 e. Daniel'!$D$2:$EE$2,'Proforma Summary'!J$4,'305 e. Daniel'!$D30:$EE30)</f>
        <v>-13533.17535</v>
      </c>
      <c r="K30" s="54">
        <f>SUMIF('305 e. Daniel'!$D$2:$EE$2,'Proforma Summary'!K$4,'305 e. Daniel'!$D30:$EE30)</f>
        <v>-13939.17061</v>
      </c>
      <c r="L30" s="54">
        <f>SUMIF('305 e. Daniel'!$D$2:$EE$2,'Proforma Summary'!L$4,'305 e. Daniel'!$D30:$EE30)</f>
        <v>-14357.34573</v>
      </c>
      <c r="M30" s="205">
        <f>SUMIF('305 e. Daniel'!$D$2:$EE$2,'Proforma Summary'!M$4,'305 e. Daniel'!$D30:$EE30)</f>
        <v>-14788.0661</v>
      </c>
      <c r="N30" s="41"/>
      <c r="O30" s="200" t="str">
        <f>'75 e. Armory'!C30</f>
        <v>Contract Services</v>
      </c>
      <c r="P30" s="1"/>
      <c r="Q30" s="54">
        <f>SUMIF('75 e. Armory'!$D$2:$EE$2,'Proforma Summary'!Q$4,'75 e. Armory'!$D30:$EE31)</f>
        <v>-16680.7367</v>
      </c>
      <c r="R30" s="54">
        <f>SUMIF('75 e. Armory'!$D$2:$EE$2,'Proforma Summary'!R$4,'75 e. Armory'!$D30:$EE31)</f>
        <v>-17181.1588</v>
      </c>
      <c r="S30" s="54">
        <f>SUMIF('75 e. Armory'!$D$2:$EE$2,'Proforma Summary'!S$4,'75 e. Armory'!$D30:$EE31)</f>
        <v>-17696.59357</v>
      </c>
      <c r="T30" s="54">
        <f>SUMIF('75 e. Armory'!$D$2:$EE$2,'Proforma Summary'!T$4,'75 e. Armory'!$D30:$EE31)</f>
        <v>-18227.49137</v>
      </c>
      <c r="U30" s="54">
        <f>SUMIF('75 e. Armory'!$D$2:$EE$2,'Proforma Summary'!U$4,'75 e. Armory'!$D30:$EE31)</f>
        <v>-18774.31611</v>
      </c>
      <c r="V30" s="54">
        <f>SUMIF('75 e. Armory'!$D$2:$EE$2,'Proforma Summary'!V$4,'75 e. Armory'!$D30:$EE31)</f>
        <v>-19337.5456</v>
      </c>
      <c r="W30" s="54">
        <f>SUMIF('75 e. Armory'!$D$2:$EE$2,'Proforma Summary'!W$4,'75 e. Armory'!$D30:$EE31)</f>
        <v>-19917.67196</v>
      </c>
      <c r="X30" s="54">
        <f>SUMIF('75 e. Armory'!$D$2:$EE$2,'Proforma Summary'!X$4,'75 e. Armory'!$D30:$EE31)</f>
        <v>-20515.20212</v>
      </c>
      <c r="Y30" s="54">
        <f>SUMIF('75 e. Armory'!$D$2:$EE$2,'Proforma Summary'!Y$4,'75 e. Armory'!$D30:$EE31)</f>
        <v>-21130.65819</v>
      </c>
      <c r="Z30" s="205">
        <f>SUMIF('75 e. Armory'!$D$2:$EE$2,'Proforma Summary'!Z$4,'75 e. Armory'!$D30:$EE31)</f>
        <v>-21764.57793</v>
      </c>
      <c r="AA30" s="41"/>
      <c r="AB30" s="200" t="str">
        <f t="shared" si="7"/>
        <v>Contract Services</v>
      </c>
      <c r="AC30" s="1"/>
      <c r="AD30" s="54">
        <f>SUMIF('507 s. Second'!$D$2:$EE$2,'Proforma Summary'!AD$4,'507 s. Second'!$D30:$EE30)</f>
        <v>-15866.3878</v>
      </c>
      <c r="AE30" s="54">
        <f>SUMIF('507 s. Second'!$D$2:$EE$2,'Proforma Summary'!AE$4,'507 s. Second'!$D30:$EE30)</f>
        <v>-16342.37943</v>
      </c>
      <c r="AF30" s="54">
        <f>SUMIF('507 s. Second'!$D$2:$EE$2,'Proforma Summary'!AF$4,'507 s. Second'!$D30:$EE30)</f>
        <v>-16832.65082</v>
      </c>
      <c r="AG30" s="54">
        <f>SUMIF('507 s. Second'!$D$2:$EE$2,'Proforma Summary'!AG$4,'507 s. Second'!$D30:$EE30)</f>
        <v>-17337.63034</v>
      </c>
      <c r="AH30" s="54">
        <f>SUMIF('507 s. Second'!$D$2:$EE$2,'Proforma Summary'!AH$4,'507 s. Second'!$D30:$EE30)</f>
        <v>-17857.75925</v>
      </c>
      <c r="AI30" s="54">
        <f>SUMIF('507 s. Second'!$D$2:$EE$2,'Proforma Summary'!AI$4,'507 s. Second'!$D30:$EE30)</f>
        <v>-18393.49203</v>
      </c>
      <c r="AJ30" s="54">
        <f>SUMIF('507 s. Second'!$D$2:$EE$2,'Proforma Summary'!AJ$4,'507 s. Second'!$D30:$EE30)</f>
        <v>-18945.29679</v>
      </c>
      <c r="AK30" s="54">
        <f>SUMIF('507 s. Second'!$D$2:$EE$2,'Proforma Summary'!AK$4,'507 s. Second'!$D30:$EE30)</f>
        <v>-19513.65569</v>
      </c>
      <c r="AL30" s="54">
        <f>SUMIF('507 s. Second'!$D$2:$EE$2,'Proforma Summary'!AL$4,'507 s. Second'!$D30:$EE30)</f>
        <v>-20099.06536</v>
      </c>
      <c r="AM30" s="205">
        <f>SUMIF('507 s. Second'!$D$2:$EE$2,'Proforma Summary'!AM$4,'507 s. Second'!$D30:$EE30)</f>
        <v>-20702.03733</v>
      </c>
      <c r="AN30" s="41"/>
      <c r="AO30" s="200" t="str">
        <f t="shared" si="8"/>
        <v>Contract Services</v>
      </c>
      <c r="AP30" s="1"/>
      <c r="AQ30" s="54">
        <f>SUMIF('901 w. Western'!$D$2:$EE$2,'Proforma Summary'!AQ$4,'901 w. Western'!$D30:$EE30)</f>
        <v>-30366.7999</v>
      </c>
      <c r="AR30" s="54">
        <f>SUMIF('901 w. Western'!$D$2:$EE$2,'Proforma Summary'!AR$4,'901 w. Western'!$D30:$EE30)</f>
        <v>-31277.8039</v>
      </c>
      <c r="AS30" s="54">
        <f>SUMIF('901 w. Western'!$D$2:$EE$2,'Proforma Summary'!AS$4,'901 w. Western'!$D30:$EE30)</f>
        <v>-32216.13801</v>
      </c>
      <c r="AT30" s="54">
        <f>SUMIF('901 w. Western'!$D$2:$EE$2,'Proforma Summary'!AT$4,'901 w. Western'!$D30:$EE30)</f>
        <v>-33182.62215</v>
      </c>
      <c r="AU30" s="54">
        <f>SUMIF('901 w. Western'!$D$2:$EE$2,'Proforma Summary'!AU$4,'901 w. Western'!$D30:$EE30)</f>
        <v>-34178.10082</v>
      </c>
      <c r="AV30" s="54">
        <f>SUMIF('901 w. Western'!$D$2:$EE$2,'Proforma Summary'!AV$4,'901 w. Western'!$D30:$EE30)</f>
        <v>-35203.44384</v>
      </c>
      <c r="AW30" s="54">
        <f>SUMIF('901 w. Western'!$D$2:$EE$2,'Proforma Summary'!AW$4,'901 w. Western'!$D30:$EE30)</f>
        <v>-36259.54716</v>
      </c>
      <c r="AX30" s="54">
        <f>SUMIF('901 w. Western'!$D$2:$EE$2,'Proforma Summary'!AX$4,'901 w. Western'!$D30:$EE30)</f>
        <v>-37347.33357</v>
      </c>
      <c r="AY30" s="54">
        <f>SUMIF('901 w. Western'!$D$2:$EE$2,'Proforma Summary'!AY$4,'901 w. Western'!$D30:$EE30)</f>
        <v>-38467.75358</v>
      </c>
      <c r="AZ30" s="205">
        <f>SUMIF('901 w. Western'!$D$2:$EE$2,'Proforma Summary'!AZ$4,'901 w. Western'!$D30:$EE30)</f>
        <v>-39621.78619</v>
      </c>
    </row>
    <row r="31" ht="15.75" customHeight="1">
      <c r="A31" s="41"/>
      <c r="B31" s="200" t="str">
        <f>'305 e. Daniel'!C31</f>
        <v>Repair &amp; Maintenance</v>
      </c>
      <c r="C31" s="1"/>
      <c r="D31" s="54">
        <f>SUMIF('305 e. Daniel'!$D$2:$EE$2,'Proforma Summary'!D$4,'305 e. Daniel'!$D31:$EE31)</f>
        <v>-8463.3246</v>
      </c>
      <c r="E31" s="54">
        <f>SUMIF('305 e. Daniel'!$D$2:$EE$2,'Proforma Summary'!E$4,'305 e. Daniel'!$D31:$EE31)</f>
        <v>-8717.224338</v>
      </c>
      <c r="F31" s="54">
        <f>SUMIF('305 e. Daniel'!$D$2:$EE$2,'Proforma Summary'!F$4,'305 e. Daniel'!$D31:$EE31)</f>
        <v>-8978.741068</v>
      </c>
      <c r="G31" s="54">
        <f>SUMIF('305 e. Daniel'!$D$2:$EE$2,'Proforma Summary'!G$4,'305 e. Daniel'!$D31:$EE31)</f>
        <v>-9248.1033</v>
      </c>
      <c r="H31" s="54">
        <f>SUMIF('305 e. Daniel'!$D$2:$EE$2,'Proforma Summary'!H$4,'305 e. Daniel'!$D31:$EE31)</f>
        <v>-9525.546399</v>
      </c>
      <c r="I31" s="54">
        <f>SUMIF('305 e. Daniel'!$D$2:$EE$2,'Proforma Summary'!I$4,'305 e. Daniel'!$D31:$EE31)</f>
        <v>-9811.312791</v>
      </c>
      <c r="J31" s="54">
        <f>SUMIF('305 e. Daniel'!$D$2:$EE$2,'Proforma Summary'!J$4,'305 e. Daniel'!$D31:$EE31)</f>
        <v>-10105.65217</v>
      </c>
      <c r="K31" s="54">
        <f>SUMIF('305 e. Daniel'!$D$2:$EE$2,'Proforma Summary'!K$4,'305 e. Daniel'!$D31:$EE31)</f>
        <v>-10408.82174</v>
      </c>
      <c r="L31" s="54">
        <f>SUMIF('305 e. Daniel'!$D$2:$EE$2,'Proforma Summary'!L$4,'305 e. Daniel'!$D31:$EE31)</f>
        <v>-10721.08639</v>
      </c>
      <c r="M31" s="205">
        <f>SUMIF('305 e. Daniel'!$D$2:$EE$2,'Proforma Summary'!M$4,'305 e. Daniel'!$D31:$EE31)</f>
        <v>-11042.71898</v>
      </c>
      <c r="N31" s="41"/>
      <c r="O31" s="200" t="str">
        <f>'75 e. Armory'!C31</f>
        <v>Repair &amp; Maintenance</v>
      </c>
      <c r="P31" s="1"/>
      <c r="Q31" s="54">
        <f>SUMIF('75 e. Armory'!$D$2:$EE$2,'Proforma Summary'!Q$4,'75 e. Armory'!$D31:$EE32)</f>
        <v>-33673.8312</v>
      </c>
      <c r="R31" s="54">
        <f>SUMIF('75 e. Armory'!$D$2:$EE$2,'Proforma Summary'!R$4,'75 e. Armory'!$D31:$EE32)</f>
        <v>-34684.04614</v>
      </c>
      <c r="S31" s="54">
        <f>SUMIF('75 e. Armory'!$D$2:$EE$2,'Proforma Summary'!S$4,'75 e. Armory'!$D31:$EE32)</f>
        <v>-35724.56752</v>
      </c>
      <c r="T31" s="54">
        <f>SUMIF('75 e. Armory'!$D$2:$EE$2,'Proforma Summary'!T$4,'75 e. Armory'!$D31:$EE32)</f>
        <v>-36796.30455</v>
      </c>
      <c r="U31" s="54">
        <f>SUMIF('75 e. Armory'!$D$2:$EE$2,'Proforma Summary'!U$4,'75 e. Armory'!$D31:$EE32)</f>
        <v>-37900.19368</v>
      </c>
      <c r="V31" s="54">
        <f>SUMIF('75 e. Armory'!$D$2:$EE$2,'Proforma Summary'!V$4,'75 e. Armory'!$D31:$EE32)</f>
        <v>-39037.19949</v>
      </c>
      <c r="W31" s="54">
        <f>SUMIF('75 e. Armory'!$D$2:$EE$2,'Proforma Summary'!W$4,'75 e. Armory'!$D31:$EE32)</f>
        <v>-40208.31548</v>
      </c>
      <c r="X31" s="54">
        <f>SUMIF('75 e. Armory'!$D$2:$EE$2,'Proforma Summary'!X$4,'75 e. Armory'!$D31:$EE32)</f>
        <v>-41414.56494</v>
      </c>
      <c r="Y31" s="54">
        <f>SUMIF('75 e. Armory'!$D$2:$EE$2,'Proforma Summary'!Y$4,'75 e. Armory'!$D31:$EE32)</f>
        <v>-42657.00189</v>
      </c>
      <c r="Z31" s="205">
        <f>SUMIF('75 e. Armory'!$D$2:$EE$2,'Proforma Summary'!Z$4,'75 e. Armory'!$D31:$EE32)</f>
        <v>-43936.71195</v>
      </c>
      <c r="AA31" s="41"/>
      <c r="AB31" s="200" t="str">
        <f t="shared" si="7"/>
        <v>Repair &amp; Maintenance</v>
      </c>
      <c r="AC31" s="1"/>
      <c r="AD31" s="54">
        <f>SUMIF('507 s. Second'!$D$2:$EE$2,'Proforma Summary'!AD$4,'507 s. Second'!$D31:$EE31)</f>
        <v>-26486.5118</v>
      </c>
      <c r="AE31" s="54">
        <f>SUMIF('507 s. Second'!$D$2:$EE$2,'Proforma Summary'!AE$4,'507 s. Second'!$D31:$EE31)</f>
        <v>-27281.10715</v>
      </c>
      <c r="AF31" s="54">
        <f>SUMIF('507 s. Second'!$D$2:$EE$2,'Proforma Summary'!AF$4,'507 s. Second'!$D31:$EE31)</f>
        <v>-28099.54037</v>
      </c>
      <c r="AG31" s="54">
        <f>SUMIF('507 s. Second'!$D$2:$EE$2,'Proforma Summary'!AG$4,'507 s. Second'!$D31:$EE31)</f>
        <v>-28942.52658</v>
      </c>
      <c r="AH31" s="54">
        <f>SUMIF('507 s. Second'!$D$2:$EE$2,'Proforma Summary'!AH$4,'507 s. Second'!$D31:$EE31)</f>
        <v>-29810.80238</v>
      </c>
      <c r="AI31" s="54">
        <f>SUMIF('507 s. Second'!$D$2:$EE$2,'Proforma Summary'!AI$4,'507 s. Second'!$D31:$EE31)</f>
        <v>-30705.12645</v>
      </c>
      <c r="AJ31" s="54">
        <f>SUMIF('507 s. Second'!$D$2:$EE$2,'Proforma Summary'!AJ$4,'507 s. Second'!$D31:$EE31)</f>
        <v>-31626.28024</v>
      </c>
      <c r="AK31" s="54">
        <f>SUMIF('507 s. Second'!$D$2:$EE$2,'Proforma Summary'!AK$4,'507 s. Second'!$D31:$EE31)</f>
        <v>-32575.06865</v>
      </c>
      <c r="AL31" s="54">
        <f>SUMIF('507 s. Second'!$D$2:$EE$2,'Proforma Summary'!AL$4,'507 s. Second'!$D31:$EE31)</f>
        <v>-33552.32071</v>
      </c>
      <c r="AM31" s="205">
        <f>SUMIF('507 s. Second'!$D$2:$EE$2,'Proforma Summary'!AM$4,'507 s. Second'!$D31:$EE31)</f>
        <v>-34558.89033</v>
      </c>
      <c r="AN31" s="41"/>
      <c r="AO31" s="200" t="str">
        <f t="shared" si="8"/>
        <v>Repair &amp; Maintenance</v>
      </c>
      <c r="AP31" s="1"/>
      <c r="AQ31" s="54">
        <f>SUMIF('901 w. Western'!$D$2:$EE$2,'Proforma Summary'!AQ$4,'901 w. Western'!$D31:$EE31)</f>
        <v>-34551.7826</v>
      </c>
      <c r="AR31" s="54">
        <f>SUMIF('901 w. Western'!$D$2:$EE$2,'Proforma Summary'!AR$4,'901 w. Western'!$D31:$EE31)</f>
        <v>-35588.33608</v>
      </c>
      <c r="AS31" s="54">
        <f>SUMIF('901 w. Western'!$D$2:$EE$2,'Proforma Summary'!AS$4,'901 w. Western'!$D31:$EE31)</f>
        <v>-36655.98616</v>
      </c>
      <c r="AT31" s="54">
        <f>SUMIF('901 w. Western'!$D$2:$EE$2,'Proforma Summary'!AT$4,'901 w. Western'!$D31:$EE31)</f>
        <v>-37755.66575</v>
      </c>
      <c r="AU31" s="54">
        <f>SUMIF('901 w. Western'!$D$2:$EE$2,'Proforma Summary'!AU$4,'901 w. Western'!$D31:$EE31)</f>
        <v>-38888.33572</v>
      </c>
      <c r="AV31" s="54">
        <f>SUMIF('901 w. Western'!$D$2:$EE$2,'Proforma Summary'!AV$4,'901 w. Western'!$D31:$EE31)</f>
        <v>-40054.98579</v>
      </c>
      <c r="AW31" s="54">
        <f>SUMIF('901 w. Western'!$D$2:$EE$2,'Proforma Summary'!AW$4,'901 w. Western'!$D31:$EE31)</f>
        <v>-41256.63536</v>
      </c>
      <c r="AX31" s="54">
        <f>SUMIF('901 w. Western'!$D$2:$EE$2,'Proforma Summary'!AX$4,'901 w. Western'!$D31:$EE31)</f>
        <v>-42494.33442</v>
      </c>
      <c r="AY31" s="54">
        <f>SUMIF('901 w. Western'!$D$2:$EE$2,'Proforma Summary'!AY$4,'901 w. Western'!$D31:$EE31)</f>
        <v>-43769.16446</v>
      </c>
      <c r="AZ31" s="205">
        <f>SUMIF('901 w. Western'!$D$2:$EE$2,'Proforma Summary'!AZ$4,'901 w. Western'!$D31:$EE31)</f>
        <v>-45082.23939</v>
      </c>
    </row>
    <row r="32" ht="15.75" customHeight="1">
      <c r="A32" s="41"/>
      <c r="B32" s="200" t="str">
        <f>'305 e. Daniel'!C32</f>
        <v>Turnaround Expense</v>
      </c>
      <c r="C32" s="70"/>
      <c r="D32" s="54">
        <f>SUMIF('305 e. Daniel'!$D$2:$EE$2,'Proforma Summary'!D$4,'305 e. Daniel'!$D32:$EE32)</f>
        <v>-11376.35</v>
      </c>
      <c r="E32" s="54">
        <f>SUMIF('305 e. Daniel'!$D$2:$EE$2,'Proforma Summary'!E$4,'305 e. Daniel'!$D32:$EE32)</f>
        <v>-11717.6405</v>
      </c>
      <c r="F32" s="54">
        <f>SUMIF('305 e. Daniel'!$D$2:$EE$2,'Proforma Summary'!F$4,'305 e. Daniel'!$D32:$EE32)</f>
        <v>-12069.16972</v>
      </c>
      <c r="G32" s="54">
        <f>SUMIF('305 e. Daniel'!$D$2:$EE$2,'Proforma Summary'!G$4,'305 e. Daniel'!$D32:$EE32)</f>
        <v>-12431.24481</v>
      </c>
      <c r="H32" s="54">
        <f>SUMIF('305 e. Daniel'!$D$2:$EE$2,'Proforma Summary'!H$4,'305 e. Daniel'!$D32:$EE32)</f>
        <v>-12804.18215</v>
      </c>
      <c r="I32" s="54">
        <f>SUMIF('305 e. Daniel'!$D$2:$EE$2,'Proforma Summary'!I$4,'305 e. Daniel'!$D32:$EE32)</f>
        <v>-13188.30762</v>
      </c>
      <c r="J32" s="54">
        <f>SUMIF('305 e. Daniel'!$D$2:$EE$2,'Proforma Summary'!J$4,'305 e. Daniel'!$D32:$EE32)</f>
        <v>-13583.95684</v>
      </c>
      <c r="K32" s="54">
        <f>SUMIF('305 e. Daniel'!$D$2:$EE$2,'Proforma Summary'!K$4,'305 e. Daniel'!$D32:$EE32)</f>
        <v>-13991.47555</v>
      </c>
      <c r="L32" s="54">
        <f>SUMIF('305 e. Daniel'!$D$2:$EE$2,'Proforma Summary'!L$4,'305 e. Daniel'!$D32:$EE32)</f>
        <v>-14411.21982</v>
      </c>
      <c r="M32" s="205">
        <f>SUMIF('305 e. Daniel'!$D$2:$EE$2,'Proforma Summary'!M$4,'305 e. Daniel'!$D32:$EE32)</f>
        <v>-14843.55641</v>
      </c>
      <c r="N32" s="41"/>
      <c r="O32" s="200" t="str">
        <f>'75 e. Armory'!C32</f>
        <v>Turnaround Expense</v>
      </c>
      <c r="P32" s="70"/>
      <c r="Q32" s="54">
        <f>SUMIF('75 e. Armory'!$D$2:$EE$2,'Proforma Summary'!Q$4,'75 e. Armory'!$D32:$EE33)</f>
        <v>-40000.05</v>
      </c>
      <c r="R32" s="54">
        <f>SUMIF('75 e. Armory'!$D$2:$EE$2,'Proforma Summary'!R$4,'75 e. Armory'!$D32:$EE33)</f>
        <v>-41200.0515</v>
      </c>
      <c r="S32" s="54">
        <f>SUMIF('75 e. Armory'!$D$2:$EE$2,'Proforma Summary'!S$4,'75 e. Armory'!$D32:$EE33)</f>
        <v>-42436.05305</v>
      </c>
      <c r="T32" s="54">
        <f>SUMIF('75 e. Armory'!$D$2:$EE$2,'Proforma Summary'!T$4,'75 e. Armory'!$D32:$EE33)</f>
        <v>-43709.13464</v>
      </c>
      <c r="U32" s="54">
        <f>SUMIF('75 e. Armory'!$D$2:$EE$2,'Proforma Summary'!U$4,'75 e. Armory'!$D32:$EE33)</f>
        <v>-45020.40868</v>
      </c>
      <c r="V32" s="54">
        <f>SUMIF('75 e. Armory'!$D$2:$EE$2,'Proforma Summary'!V$4,'75 e. Armory'!$D32:$EE33)</f>
        <v>-46371.02094</v>
      </c>
      <c r="W32" s="54">
        <f>SUMIF('75 e. Armory'!$D$2:$EE$2,'Proforma Summary'!W$4,'75 e. Armory'!$D32:$EE33)</f>
        <v>-47762.15156</v>
      </c>
      <c r="X32" s="54">
        <f>SUMIF('75 e. Armory'!$D$2:$EE$2,'Proforma Summary'!X$4,'75 e. Armory'!$D32:$EE33)</f>
        <v>-49195.01611</v>
      </c>
      <c r="Y32" s="54">
        <f>SUMIF('75 e. Armory'!$D$2:$EE$2,'Proforma Summary'!Y$4,'75 e. Armory'!$D32:$EE33)</f>
        <v>-50670.86659</v>
      </c>
      <c r="Z32" s="205">
        <f>SUMIF('75 e. Armory'!$D$2:$EE$2,'Proforma Summary'!Z$4,'75 e. Armory'!$D32:$EE33)</f>
        <v>-52190.99259</v>
      </c>
      <c r="AA32" s="41"/>
      <c r="AB32" s="200" t="str">
        <f t="shared" si="7"/>
        <v>Turnaround Expense</v>
      </c>
      <c r="AC32" s="70"/>
      <c r="AD32" s="54">
        <f>SUMIF('507 s. Second'!$D$2:$EE$2,'Proforma Summary'!AD$4,'507 s. Second'!$D32:$EE32)</f>
        <v>-26574</v>
      </c>
      <c r="AE32" s="54">
        <f>SUMIF('507 s. Second'!$D$2:$EE$2,'Proforma Summary'!AE$4,'507 s. Second'!$D32:$EE32)</f>
        <v>-27371.22</v>
      </c>
      <c r="AF32" s="54">
        <f>SUMIF('507 s. Second'!$D$2:$EE$2,'Proforma Summary'!AF$4,'507 s. Second'!$D32:$EE32)</f>
        <v>-28192.3566</v>
      </c>
      <c r="AG32" s="54">
        <f>SUMIF('507 s. Second'!$D$2:$EE$2,'Proforma Summary'!AG$4,'507 s. Second'!$D32:$EE32)</f>
        <v>-29038.1273</v>
      </c>
      <c r="AH32" s="54">
        <f>SUMIF('507 s. Second'!$D$2:$EE$2,'Proforma Summary'!AH$4,'507 s. Second'!$D32:$EE32)</f>
        <v>-29909.27112</v>
      </c>
      <c r="AI32" s="54">
        <f>SUMIF('507 s. Second'!$D$2:$EE$2,'Proforma Summary'!AI$4,'507 s. Second'!$D32:$EE32)</f>
        <v>-30806.54925</v>
      </c>
      <c r="AJ32" s="54">
        <f>SUMIF('507 s. Second'!$D$2:$EE$2,'Proforma Summary'!AJ$4,'507 s. Second'!$D32:$EE32)</f>
        <v>-31730.74573</v>
      </c>
      <c r="AK32" s="54">
        <f>SUMIF('507 s. Second'!$D$2:$EE$2,'Proforma Summary'!AK$4,'507 s. Second'!$D32:$EE32)</f>
        <v>-32682.6681</v>
      </c>
      <c r="AL32" s="54">
        <f>SUMIF('507 s. Second'!$D$2:$EE$2,'Proforma Summary'!AL$4,'507 s. Second'!$D32:$EE32)</f>
        <v>-33663.14814</v>
      </c>
      <c r="AM32" s="205">
        <f>SUMIF('507 s. Second'!$D$2:$EE$2,'Proforma Summary'!AM$4,'507 s. Second'!$D32:$EE32)</f>
        <v>-34673.04259</v>
      </c>
      <c r="AN32" s="41"/>
      <c r="AO32" s="200" t="str">
        <f t="shared" si="8"/>
        <v>Turnaround Expense</v>
      </c>
      <c r="AP32" s="70"/>
      <c r="AQ32" s="54">
        <f>SUMIF('901 w. Western'!$D$2:$EE$2,'Proforma Summary'!AQ$4,'901 w. Western'!$D32:$EE32)</f>
        <v>-40087.6</v>
      </c>
      <c r="AR32" s="54">
        <f>SUMIF('901 w. Western'!$D$2:$EE$2,'Proforma Summary'!AR$4,'901 w. Western'!$D32:$EE32)</f>
        <v>-41290.228</v>
      </c>
      <c r="AS32" s="54">
        <f>SUMIF('901 w. Western'!$D$2:$EE$2,'Proforma Summary'!AS$4,'901 w. Western'!$D32:$EE32)</f>
        <v>-42528.93484</v>
      </c>
      <c r="AT32" s="54">
        <f>SUMIF('901 w. Western'!$D$2:$EE$2,'Proforma Summary'!AT$4,'901 w. Western'!$D32:$EE32)</f>
        <v>-43804.80289</v>
      </c>
      <c r="AU32" s="54">
        <f>SUMIF('901 w. Western'!$D$2:$EE$2,'Proforma Summary'!AU$4,'901 w. Western'!$D32:$EE32)</f>
        <v>-45118.94697</v>
      </c>
      <c r="AV32" s="54">
        <f>SUMIF('901 w. Western'!$D$2:$EE$2,'Proforma Summary'!AV$4,'901 w. Western'!$D32:$EE32)</f>
        <v>-46472.51538</v>
      </c>
      <c r="AW32" s="54">
        <f>SUMIF('901 w. Western'!$D$2:$EE$2,'Proforma Summary'!AW$4,'901 w. Western'!$D32:$EE32)</f>
        <v>-47866.69084</v>
      </c>
      <c r="AX32" s="54">
        <f>SUMIF('901 w. Western'!$D$2:$EE$2,'Proforma Summary'!AX$4,'901 w. Western'!$D32:$EE32)</f>
        <v>-49302.69157</v>
      </c>
      <c r="AY32" s="54">
        <f>SUMIF('901 w. Western'!$D$2:$EE$2,'Proforma Summary'!AY$4,'901 w. Western'!$D32:$EE32)</f>
        <v>-50781.77231</v>
      </c>
      <c r="AZ32" s="205">
        <f>SUMIF('901 w. Western'!$D$2:$EE$2,'Proforma Summary'!AZ$4,'901 w. Western'!$D32:$EE32)</f>
        <v>-52305.22548</v>
      </c>
    </row>
    <row r="33" ht="15.75" customHeight="1">
      <c r="A33" s="41"/>
      <c r="B33" s="200" t="str">
        <f>'305 e. Daniel'!C33</f>
        <v>Tax</v>
      </c>
      <c r="C33" s="1"/>
      <c r="D33" s="54">
        <f>SUMIF('305 e. Daniel'!$D$2:$EE$2,'Proforma Summary'!D$4,'305 e. Daniel'!$D33:$EE33)</f>
        <v>-121613.2536</v>
      </c>
      <c r="E33" s="54">
        <f>SUMIF('305 e. Daniel'!$D$2:$EE$2,'Proforma Summary'!E$4,'305 e. Daniel'!$D33:$EE33)</f>
        <v>-125261.6512</v>
      </c>
      <c r="F33" s="54">
        <f>SUMIF('305 e. Daniel'!$D$2:$EE$2,'Proforma Summary'!F$4,'305 e. Daniel'!$D33:$EE33)</f>
        <v>-129019.5007</v>
      </c>
      <c r="G33" s="54">
        <f>SUMIF('305 e. Daniel'!$D$2:$EE$2,'Proforma Summary'!G$4,'305 e. Daniel'!$D33:$EE33)</f>
        <v>-132890.0858</v>
      </c>
      <c r="H33" s="54">
        <f>SUMIF('305 e. Daniel'!$D$2:$EE$2,'Proforma Summary'!H$4,'305 e. Daniel'!$D33:$EE33)</f>
        <v>-136876.7883</v>
      </c>
      <c r="I33" s="54">
        <f>SUMIF('305 e. Daniel'!$D$2:$EE$2,'Proforma Summary'!I$4,'305 e. Daniel'!$D33:$EE33)</f>
        <v>-140983.092</v>
      </c>
      <c r="J33" s="54">
        <f>SUMIF('305 e. Daniel'!$D$2:$EE$2,'Proforma Summary'!J$4,'305 e. Daniel'!$D33:$EE33)</f>
        <v>-145212.5847</v>
      </c>
      <c r="K33" s="54">
        <f>SUMIF('305 e. Daniel'!$D$2:$EE$2,'Proforma Summary'!K$4,'305 e. Daniel'!$D33:$EE33)</f>
        <v>-149568.9623</v>
      </c>
      <c r="L33" s="54">
        <f>SUMIF('305 e. Daniel'!$D$2:$EE$2,'Proforma Summary'!L$4,'305 e. Daniel'!$D33:$EE33)</f>
        <v>-154056.0312</v>
      </c>
      <c r="M33" s="205">
        <f>SUMIF('305 e. Daniel'!$D$2:$EE$2,'Proforma Summary'!M$4,'305 e. Daniel'!$D33:$EE33)</f>
        <v>-158677.7121</v>
      </c>
      <c r="N33" s="41"/>
      <c r="O33" s="200" t="str">
        <f>'75 e. Armory'!C33</f>
        <v>Tax</v>
      </c>
      <c r="P33" s="1"/>
      <c r="Q33" s="54">
        <f>SUMIF('75 e. Armory'!$D$2:$EE$2,'Proforma Summary'!Q$4,'75 e. Armory'!$D33:$EE34)</f>
        <v>-381322.767</v>
      </c>
      <c r="R33" s="54">
        <f>SUMIF('75 e. Armory'!$D$2:$EE$2,'Proforma Summary'!R$4,'75 e. Armory'!$D33:$EE34)</f>
        <v>-392762.45</v>
      </c>
      <c r="S33" s="54">
        <f>SUMIF('75 e. Armory'!$D$2:$EE$2,'Proforma Summary'!S$4,'75 e. Armory'!$D33:$EE34)</f>
        <v>-404545.3235</v>
      </c>
      <c r="T33" s="54">
        <f>SUMIF('75 e. Armory'!$D$2:$EE$2,'Proforma Summary'!T$4,'75 e. Armory'!$D33:$EE34)</f>
        <v>-416681.6832</v>
      </c>
      <c r="U33" s="54">
        <f>SUMIF('75 e. Armory'!$D$2:$EE$2,'Proforma Summary'!U$4,'75 e. Armory'!$D33:$EE34)</f>
        <v>-429182.1337</v>
      </c>
      <c r="V33" s="54">
        <f>SUMIF('75 e. Armory'!$D$2:$EE$2,'Proforma Summary'!V$4,'75 e. Armory'!$D33:$EE34)</f>
        <v>-442057.5977</v>
      </c>
      <c r="W33" s="54">
        <f>SUMIF('75 e. Armory'!$D$2:$EE$2,'Proforma Summary'!W$4,'75 e. Armory'!$D33:$EE34)</f>
        <v>-455319.3257</v>
      </c>
      <c r="X33" s="54">
        <f>SUMIF('75 e. Armory'!$D$2:$EE$2,'Proforma Summary'!X$4,'75 e. Armory'!$D33:$EE34)</f>
        <v>-468978.9054</v>
      </c>
      <c r="Y33" s="54">
        <f>SUMIF('75 e. Armory'!$D$2:$EE$2,'Proforma Summary'!Y$4,'75 e. Armory'!$D33:$EE34)</f>
        <v>-483048.2726</v>
      </c>
      <c r="Z33" s="205">
        <f>SUMIF('75 e. Armory'!$D$2:$EE$2,'Proforma Summary'!Z$4,'75 e. Armory'!$D33:$EE34)</f>
        <v>-497539.7208</v>
      </c>
      <c r="AA33" s="41"/>
      <c r="AB33" s="200" t="str">
        <f t="shared" si="7"/>
        <v>Tax</v>
      </c>
      <c r="AC33" s="1"/>
      <c r="AD33" s="54">
        <f>SUMIF('507 s. Second'!$D$2:$EE$2,'Proforma Summary'!AD$4,'507 s. Second'!$D33:$EE33)</f>
        <v>-279228.3762</v>
      </c>
      <c r="AE33" s="54">
        <f>SUMIF('507 s. Second'!$D$2:$EE$2,'Proforma Summary'!AE$4,'507 s. Second'!$D33:$EE33)</f>
        <v>-287605.2275</v>
      </c>
      <c r="AF33" s="54">
        <f>SUMIF('507 s. Second'!$D$2:$EE$2,'Proforma Summary'!AF$4,'507 s. Second'!$D33:$EE33)</f>
        <v>-296233.3843</v>
      </c>
      <c r="AG33" s="54">
        <f>SUMIF('507 s. Second'!$D$2:$EE$2,'Proforma Summary'!AG$4,'507 s. Second'!$D33:$EE33)</f>
        <v>-305120.3858</v>
      </c>
      <c r="AH33" s="54">
        <f>SUMIF('507 s. Second'!$D$2:$EE$2,'Proforma Summary'!AH$4,'507 s. Second'!$D33:$EE33)</f>
        <v>-314273.9974</v>
      </c>
      <c r="AI33" s="54">
        <f>SUMIF('507 s. Second'!$D$2:$EE$2,'Proforma Summary'!AI$4,'507 s. Second'!$D33:$EE33)</f>
        <v>-323702.2173</v>
      </c>
      <c r="AJ33" s="54">
        <f>SUMIF('507 s. Second'!$D$2:$EE$2,'Proforma Summary'!AJ$4,'507 s. Second'!$D33:$EE33)</f>
        <v>-333413.2839</v>
      </c>
      <c r="AK33" s="54">
        <f>SUMIF('507 s. Second'!$D$2:$EE$2,'Proforma Summary'!AK$4,'507 s. Second'!$D33:$EE33)</f>
        <v>-343415.6824</v>
      </c>
      <c r="AL33" s="54">
        <f>SUMIF('507 s. Second'!$D$2:$EE$2,'Proforma Summary'!AL$4,'507 s. Second'!$D33:$EE33)</f>
        <v>-353718.1528</v>
      </c>
      <c r="AM33" s="205">
        <f>SUMIF('507 s. Second'!$D$2:$EE$2,'Proforma Summary'!AM$4,'507 s. Second'!$D33:$EE33)</f>
        <v>-364329.6974</v>
      </c>
      <c r="AN33" s="41"/>
      <c r="AO33" s="200" t="str">
        <f t="shared" si="8"/>
        <v>Tax</v>
      </c>
      <c r="AP33" s="1"/>
      <c r="AQ33" s="54">
        <f>SUMIF('901 w. Western'!$D$2:$EE$2,'Proforma Summary'!AQ$4,'901 w. Western'!$D33:$EE33)</f>
        <v>-433534.4658</v>
      </c>
      <c r="AR33" s="54">
        <f>SUMIF('901 w. Western'!$D$2:$EE$2,'Proforma Summary'!AR$4,'901 w. Western'!$D33:$EE33)</f>
        <v>-446540.4998</v>
      </c>
      <c r="AS33" s="54">
        <f>SUMIF('901 w. Western'!$D$2:$EE$2,'Proforma Summary'!AS$4,'901 w. Western'!$D33:$EE33)</f>
        <v>-459936.7148</v>
      </c>
      <c r="AT33" s="54">
        <f>SUMIF('901 w. Western'!$D$2:$EE$2,'Proforma Summary'!AT$4,'901 w. Western'!$D33:$EE33)</f>
        <v>-473734.8162</v>
      </c>
      <c r="AU33" s="54">
        <f>SUMIF('901 w. Western'!$D$2:$EE$2,'Proforma Summary'!AU$4,'901 w. Western'!$D33:$EE33)</f>
        <v>-487946.8607</v>
      </c>
      <c r="AV33" s="54">
        <f>SUMIF('901 w. Western'!$D$2:$EE$2,'Proforma Summary'!AV$4,'901 w. Western'!$D33:$EE33)</f>
        <v>-502585.2665</v>
      </c>
      <c r="AW33" s="54">
        <f>SUMIF('901 w. Western'!$D$2:$EE$2,'Proforma Summary'!AW$4,'901 w. Western'!$D33:$EE33)</f>
        <v>-517662.8245</v>
      </c>
      <c r="AX33" s="54">
        <f>SUMIF('901 w. Western'!$D$2:$EE$2,'Proforma Summary'!AX$4,'901 w. Western'!$D33:$EE33)</f>
        <v>-533192.7092</v>
      </c>
      <c r="AY33" s="54">
        <f>SUMIF('901 w. Western'!$D$2:$EE$2,'Proforma Summary'!AY$4,'901 w. Western'!$D33:$EE33)</f>
        <v>-549188.4905</v>
      </c>
      <c r="AZ33" s="205">
        <f>SUMIF('901 w. Western'!$D$2:$EE$2,'Proforma Summary'!AZ$4,'901 w. Western'!$D33:$EE33)</f>
        <v>-565664.1452</v>
      </c>
    </row>
    <row r="34" ht="15.75" customHeight="1">
      <c r="A34" s="41"/>
      <c r="B34" s="200" t="str">
        <f>'305 e. Daniel'!C34</f>
        <v>Insurance</v>
      </c>
      <c r="C34" s="1"/>
      <c r="D34" s="54">
        <f>SUMIF('305 e. Daniel'!$D$2:$EE$2,'Proforma Summary'!D$4,'305 e. Daniel'!$D34:$EE34)</f>
        <v>-33415.4454</v>
      </c>
      <c r="E34" s="54">
        <f>SUMIF('305 e. Daniel'!$D$2:$EE$2,'Proforma Summary'!E$4,'305 e. Daniel'!$D34:$EE34)</f>
        <v>-34417.90876</v>
      </c>
      <c r="F34" s="54">
        <f>SUMIF('305 e. Daniel'!$D$2:$EE$2,'Proforma Summary'!F$4,'305 e. Daniel'!$D34:$EE34)</f>
        <v>-35450.44602</v>
      </c>
      <c r="G34" s="54">
        <f>SUMIF('305 e. Daniel'!$D$2:$EE$2,'Proforma Summary'!G$4,'305 e. Daniel'!$D34:$EE34)</f>
        <v>-36513.95941</v>
      </c>
      <c r="H34" s="54">
        <f>SUMIF('305 e. Daniel'!$D$2:$EE$2,'Proforma Summary'!H$4,'305 e. Daniel'!$D34:$EE34)</f>
        <v>-37609.37819</v>
      </c>
      <c r="I34" s="54">
        <f>SUMIF('305 e. Daniel'!$D$2:$EE$2,'Proforma Summary'!I$4,'305 e. Daniel'!$D34:$EE34)</f>
        <v>-38737.65953</v>
      </c>
      <c r="J34" s="54">
        <f>SUMIF('305 e. Daniel'!$D$2:$EE$2,'Proforma Summary'!J$4,'305 e. Daniel'!$D34:$EE34)</f>
        <v>-39899.78932</v>
      </c>
      <c r="K34" s="54">
        <f>SUMIF('305 e. Daniel'!$D$2:$EE$2,'Proforma Summary'!K$4,'305 e. Daniel'!$D34:$EE34)</f>
        <v>-41096.783</v>
      </c>
      <c r="L34" s="54">
        <f>SUMIF('305 e. Daniel'!$D$2:$EE$2,'Proforma Summary'!L$4,'305 e. Daniel'!$D34:$EE34)</f>
        <v>-42329.68649</v>
      </c>
      <c r="M34" s="205">
        <f>SUMIF('305 e. Daniel'!$D$2:$EE$2,'Proforma Summary'!M$4,'305 e. Daniel'!$D34:$EE34)</f>
        <v>-43599.57708</v>
      </c>
      <c r="N34" s="41"/>
      <c r="O34" s="200" t="str">
        <f>'75 e. Armory'!C34</f>
        <v>Insurance</v>
      </c>
      <c r="P34" s="1"/>
      <c r="Q34" s="54">
        <f>SUMIF('75 e. Armory'!$D$2:$EE$2,'Proforma Summary'!Q$4,'75 e. Armory'!$D34:$EE35)</f>
        <v>-142405.3383</v>
      </c>
      <c r="R34" s="54">
        <f>SUMIF('75 e. Armory'!$D$2:$EE$2,'Proforma Summary'!R$4,'75 e. Armory'!$D34:$EE35)</f>
        <v>-146677.4984</v>
      </c>
      <c r="S34" s="54">
        <f>SUMIF('75 e. Armory'!$D$2:$EE$2,'Proforma Summary'!S$4,'75 e. Armory'!$D34:$EE35)</f>
        <v>-151077.8234</v>
      </c>
      <c r="T34" s="54">
        <f>SUMIF('75 e. Armory'!$D$2:$EE$2,'Proforma Summary'!T$4,'75 e. Armory'!$D34:$EE35)</f>
        <v>-155610.1581</v>
      </c>
      <c r="U34" s="54">
        <f>SUMIF('75 e. Armory'!$D$2:$EE$2,'Proforma Summary'!U$4,'75 e. Armory'!$D34:$EE35)</f>
        <v>-160278.4628</v>
      </c>
      <c r="V34" s="54">
        <f>SUMIF('75 e. Armory'!$D$2:$EE$2,'Proforma Summary'!V$4,'75 e. Armory'!$D34:$EE35)</f>
        <v>-165086.8167</v>
      </c>
      <c r="W34" s="54">
        <f>SUMIF('75 e. Armory'!$D$2:$EE$2,'Proforma Summary'!W$4,'75 e. Armory'!$D34:$EE35)</f>
        <v>-170039.4212</v>
      </c>
      <c r="X34" s="54">
        <f>SUMIF('75 e. Armory'!$D$2:$EE$2,'Proforma Summary'!X$4,'75 e. Armory'!$D34:$EE35)</f>
        <v>-175140.6039</v>
      </c>
      <c r="Y34" s="54">
        <f>SUMIF('75 e. Armory'!$D$2:$EE$2,'Proforma Summary'!Y$4,'75 e. Armory'!$D34:$EE35)</f>
        <v>-180394.822</v>
      </c>
      <c r="Z34" s="205">
        <f>SUMIF('75 e. Armory'!$D$2:$EE$2,'Proforma Summary'!Z$4,'75 e. Armory'!$D34:$EE35)</f>
        <v>-185806.6666</v>
      </c>
      <c r="AA34" s="41"/>
      <c r="AB34" s="200" t="str">
        <f t="shared" si="7"/>
        <v>Insurance</v>
      </c>
      <c r="AC34" s="1"/>
      <c r="AD34" s="54">
        <f>SUMIF('507 s. Second'!$D$2:$EE$2,'Proforma Summary'!AD$4,'507 s. Second'!$D34:$EE34)</f>
        <v>-56924.0624</v>
      </c>
      <c r="AE34" s="54">
        <f>SUMIF('507 s. Second'!$D$2:$EE$2,'Proforma Summary'!AE$4,'507 s. Second'!$D34:$EE34)</f>
        <v>-58631.78427</v>
      </c>
      <c r="AF34" s="54">
        <f>SUMIF('507 s. Second'!$D$2:$EE$2,'Proforma Summary'!AF$4,'507 s. Second'!$D34:$EE34)</f>
        <v>-60390.7378</v>
      </c>
      <c r="AG34" s="54">
        <f>SUMIF('507 s. Second'!$D$2:$EE$2,'Proforma Summary'!AG$4,'507 s. Second'!$D34:$EE34)</f>
        <v>-62202.45993</v>
      </c>
      <c r="AH34" s="54">
        <f>SUMIF('507 s. Second'!$D$2:$EE$2,'Proforma Summary'!AH$4,'507 s. Second'!$D34:$EE34)</f>
        <v>-64068.53373</v>
      </c>
      <c r="AI34" s="54">
        <f>SUMIF('507 s. Second'!$D$2:$EE$2,'Proforma Summary'!AI$4,'507 s. Second'!$D34:$EE34)</f>
        <v>-65990.58974</v>
      </c>
      <c r="AJ34" s="54">
        <f>SUMIF('507 s. Second'!$D$2:$EE$2,'Proforma Summary'!AJ$4,'507 s. Second'!$D34:$EE34)</f>
        <v>-67970.30744</v>
      </c>
      <c r="AK34" s="54">
        <f>SUMIF('507 s. Second'!$D$2:$EE$2,'Proforma Summary'!AK$4,'507 s. Second'!$D34:$EE34)</f>
        <v>-70009.41666</v>
      </c>
      <c r="AL34" s="54">
        <f>SUMIF('507 s. Second'!$D$2:$EE$2,'Proforma Summary'!AL$4,'507 s. Second'!$D34:$EE34)</f>
        <v>-72109.69916</v>
      </c>
      <c r="AM34" s="205">
        <f>SUMIF('507 s. Second'!$D$2:$EE$2,'Proforma Summary'!AM$4,'507 s. Second'!$D34:$EE34)</f>
        <v>-74272.99013</v>
      </c>
      <c r="AN34" s="41"/>
      <c r="AO34" s="200" t="str">
        <f t="shared" si="8"/>
        <v>Insurance</v>
      </c>
      <c r="AP34" s="1"/>
      <c r="AQ34" s="54">
        <f>SUMIF('901 w. Western'!$D$2:$EE$2,'Proforma Summary'!AQ$4,'901 w. Western'!$D34:$EE34)</f>
        <v>-133443.5658</v>
      </c>
      <c r="AR34" s="54">
        <f>SUMIF('901 w. Western'!$D$2:$EE$2,'Proforma Summary'!AR$4,'901 w. Western'!$D34:$EE34)</f>
        <v>-137446.8728</v>
      </c>
      <c r="AS34" s="54">
        <f>SUMIF('901 w. Western'!$D$2:$EE$2,'Proforma Summary'!AS$4,'901 w. Western'!$D34:$EE34)</f>
        <v>-141570.279</v>
      </c>
      <c r="AT34" s="54">
        <f>SUMIF('901 w. Western'!$D$2:$EE$2,'Proforma Summary'!AT$4,'901 w. Western'!$D34:$EE34)</f>
        <v>-145817.3873</v>
      </c>
      <c r="AU34" s="54">
        <f>SUMIF('901 w. Western'!$D$2:$EE$2,'Proforma Summary'!AU$4,'901 w. Western'!$D34:$EE34)</f>
        <v>-150191.9089</v>
      </c>
      <c r="AV34" s="54">
        <f>SUMIF('901 w. Western'!$D$2:$EE$2,'Proforma Summary'!AV$4,'901 w. Western'!$D34:$EE34)</f>
        <v>-154697.6662</v>
      </c>
      <c r="AW34" s="54">
        <f>SUMIF('901 w. Western'!$D$2:$EE$2,'Proforma Summary'!AW$4,'901 w. Western'!$D34:$EE34)</f>
        <v>-159338.5962</v>
      </c>
      <c r="AX34" s="54">
        <f>SUMIF('901 w. Western'!$D$2:$EE$2,'Proforma Summary'!AX$4,'901 w. Western'!$D34:$EE34)</f>
        <v>-164118.7541</v>
      </c>
      <c r="AY34" s="54">
        <f>SUMIF('901 w. Western'!$D$2:$EE$2,'Proforma Summary'!AY$4,'901 w. Western'!$D34:$EE34)</f>
        <v>-169042.3167</v>
      </c>
      <c r="AZ34" s="205">
        <f>SUMIF('901 w. Western'!$D$2:$EE$2,'Proforma Summary'!AZ$4,'901 w. Western'!$D34:$EE34)</f>
        <v>-174113.5862</v>
      </c>
    </row>
    <row r="35" ht="15.75" customHeight="1">
      <c r="A35" s="41"/>
      <c r="B35" s="200" t="str">
        <f>'305 e. Daniel'!C35</f>
        <v>HQ Expense</v>
      </c>
      <c r="C35" s="70"/>
      <c r="D35" s="54">
        <f>SUMIF('305 e. Daniel'!$D$2:$EE$2,'Proforma Summary'!D$4,'305 e. Daniel'!$D35:$EE35)</f>
        <v>-5077.1378</v>
      </c>
      <c r="E35" s="54">
        <f>SUMIF('305 e. Daniel'!$D$2:$EE$2,'Proforma Summary'!E$4,'305 e. Daniel'!$D35:$EE35)</f>
        <v>-5229.451934</v>
      </c>
      <c r="F35" s="54">
        <f>SUMIF('305 e. Daniel'!$D$2:$EE$2,'Proforma Summary'!F$4,'305 e. Daniel'!$D35:$EE35)</f>
        <v>-5386.335492</v>
      </c>
      <c r="G35" s="54">
        <f>SUMIF('305 e. Daniel'!$D$2:$EE$2,'Proforma Summary'!G$4,'305 e. Daniel'!$D35:$EE35)</f>
        <v>-5547.925557</v>
      </c>
      <c r="H35" s="54">
        <f>SUMIF('305 e. Daniel'!$D$2:$EE$2,'Proforma Summary'!H$4,'305 e. Daniel'!$D35:$EE35)</f>
        <v>-5714.363323</v>
      </c>
      <c r="I35" s="54">
        <f>SUMIF('305 e. Daniel'!$D$2:$EE$2,'Proforma Summary'!I$4,'305 e. Daniel'!$D35:$EE35)</f>
        <v>-5885.794223</v>
      </c>
      <c r="J35" s="54">
        <f>SUMIF('305 e. Daniel'!$D$2:$EE$2,'Proforma Summary'!J$4,'305 e. Daniel'!$D35:$EE35)</f>
        <v>-6062.36805</v>
      </c>
      <c r="K35" s="54">
        <f>SUMIF('305 e. Daniel'!$D$2:$EE$2,'Proforma Summary'!K$4,'305 e. Daniel'!$D35:$EE35)</f>
        <v>-6244.239091</v>
      </c>
      <c r="L35" s="54">
        <f>SUMIF('305 e. Daniel'!$D$2:$EE$2,'Proforma Summary'!L$4,'305 e. Daniel'!$D35:$EE35)</f>
        <v>-6431.566264</v>
      </c>
      <c r="M35" s="205">
        <f>SUMIF('305 e. Daniel'!$D$2:$EE$2,'Proforma Summary'!M$4,'305 e. Daniel'!$D35:$EE35)</f>
        <v>-6624.513252</v>
      </c>
      <c r="N35" s="41"/>
      <c r="O35" s="200" t="str">
        <f>'75 e. Armory'!C35</f>
        <v>HQ Expense</v>
      </c>
      <c r="P35" s="70"/>
      <c r="Q35" s="54">
        <f>SUMIF('75 e. Armory'!$D$2:$EE$2,'Proforma Summary'!Q$4,'75 e. Armory'!$D35:$EE36)</f>
        <v>-20464.0297</v>
      </c>
      <c r="R35" s="54">
        <f>SUMIF('75 e. Armory'!$D$2:$EE$2,'Proforma Summary'!R$4,'75 e. Armory'!$D35:$EE36)</f>
        <v>-21077.95059</v>
      </c>
      <c r="S35" s="54">
        <f>SUMIF('75 e. Armory'!$D$2:$EE$2,'Proforma Summary'!S$4,'75 e. Armory'!$D35:$EE36)</f>
        <v>-21710.28911</v>
      </c>
      <c r="T35" s="54">
        <f>SUMIF('75 e. Armory'!$D$2:$EE$2,'Proforma Summary'!T$4,'75 e. Armory'!$D35:$EE36)</f>
        <v>-22361.59778</v>
      </c>
      <c r="U35" s="54">
        <f>SUMIF('75 e. Armory'!$D$2:$EE$2,'Proforma Summary'!U$4,'75 e. Armory'!$D35:$EE36)</f>
        <v>-23032.44572</v>
      </c>
      <c r="V35" s="54">
        <f>SUMIF('75 e. Armory'!$D$2:$EE$2,'Proforma Summary'!V$4,'75 e. Armory'!$D35:$EE36)</f>
        <v>-23723.41909</v>
      </c>
      <c r="W35" s="54">
        <f>SUMIF('75 e. Armory'!$D$2:$EE$2,'Proforma Summary'!W$4,'75 e. Armory'!$D35:$EE36)</f>
        <v>-24435.12166</v>
      </c>
      <c r="X35" s="54">
        <f>SUMIF('75 e. Armory'!$D$2:$EE$2,'Proforma Summary'!X$4,'75 e. Armory'!$D35:$EE36)</f>
        <v>-25168.17531</v>
      </c>
      <c r="Y35" s="54">
        <f>SUMIF('75 e. Armory'!$D$2:$EE$2,'Proforma Summary'!Y$4,'75 e. Armory'!$D35:$EE36)</f>
        <v>-25923.22057</v>
      </c>
      <c r="Z35" s="205">
        <f>SUMIF('75 e. Armory'!$D$2:$EE$2,'Proforma Summary'!Z$4,'75 e. Armory'!$D35:$EE36)</f>
        <v>-26700.91719</v>
      </c>
      <c r="AA35" s="41"/>
      <c r="AB35" s="200" t="str">
        <f t="shared" si="7"/>
        <v>HQ Expense</v>
      </c>
      <c r="AC35" s="70"/>
      <c r="AD35" s="211">
        <f>SUMIF('507 s. Second'!$D$2:$EE$2,'Proforma Summary'!AD$4,'507 s. Second'!$D35:$EE35)</f>
        <v>-11448.7075</v>
      </c>
      <c r="AE35" s="211">
        <f>SUMIF('507 s. Second'!$D$2:$EE$2,'Proforma Summary'!AE$4,'507 s. Second'!$D35:$EE35)</f>
        <v>-11792.16873</v>
      </c>
      <c r="AF35" s="211">
        <f>SUMIF('507 s. Second'!$D$2:$EE$2,'Proforma Summary'!AF$4,'507 s. Second'!$D35:$EE35)</f>
        <v>-12145.93379</v>
      </c>
      <c r="AG35" s="211">
        <f>SUMIF('507 s. Second'!$D$2:$EE$2,'Proforma Summary'!AG$4,'507 s. Second'!$D35:$EE35)</f>
        <v>-12510.3118</v>
      </c>
      <c r="AH35" s="211">
        <f>SUMIF('507 s. Second'!$D$2:$EE$2,'Proforma Summary'!AH$4,'507 s. Second'!$D35:$EE35)</f>
        <v>-12885.62115</v>
      </c>
      <c r="AI35" s="211">
        <f>SUMIF('507 s. Second'!$D$2:$EE$2,'Proforma Summary'!AI$4,'507 s. Second'!$D35:$EE35)</f>
        <v>-13272.18979</v>
      </c>
      <c r="AJ35" s="211">
        <f>SUMIF('507 s. Second'!$D$2:$EE$2,'Proforma Summary'!AJ$4,'507 s. Second'!$D35:$EE35)</f>
        <v>-13670.35548</v>
      </c>
      <c r="AK35" s="211">
        <f>SUMIF('507 s. Second'!$D$2:$EE$2,'Proforma Summary'!AK$4,'507 s. Second'!$D35:$EE35)</f>
        <v>-14080.46615</v>
      </c>
      <c r="AL35" s="211">
        <f>SUMIF('507 s. Second'!$D$2:$EE$2,'Proforma Summary'!AL$4,'507 s. Second'!$D35:$EE35)</f>
        <v>-14502.88013</v>
      </c>
      <c r="AM35" s="212">
        <f>SUMIF('507 s. Second'!$D$2:$EE$2,'Proforma Summary'!AM$4,'507 s. Second'!$D35:$EE35)</f>
        <v>-14937.96654</v>
      </c>
      <c r="AN35" s="41"/>
      <c r="AO35" s="200" t="str">
        <f t="shared" si="8"/>
        <v>HQ Expense</v>
      </c>
      <c r="AP35" s="70"/>
      <c r="AQ35" s="54">
        <f>SUMIF('901 w. Western'!$D$2:$EE$2,'Proforma Summary'!AQ$4,'901 w. Western'!$D35:$EE35)</f>
        <v>-20825.6421</v>
      </c>
      <c r="AR35" s="54">
        <f>SUMIF('901 w. Western'!$D$2:$EE$2,'Proforma Summary'!AR$4,'901 w. Western'!$D35:$EE35)</f>
        <v>-21450.41136</v>
      </c>
      <c r="AS35" s="54">
        <f>SUMIF('901 w. Western'!$D$2:$EE$2,'Proforma Summary'!AS$4,'901 w. Western'!$D35:$EE35)</f>
        <v>-22093.9237</v>
      </c>
      <c r="AT35" s="54">
        <f>SUMIF('901 w. Western'!$D$2:$EE$2,'Proforma Summary'!AT$4,'901 w. Western'!$D35:$EE35)</f>
        <v>-22756.74142</v>
      </c>
      <c r="AU35" s="54">
        <f>SUMIF('901 w. Western'!$D$2:$EE$2,'Proforma Summary'!AU$4,'901 w. Western'!$D35:$EE35)</f>
        <v>-23439.44366</v>
      </c>
      <c r="AV35" s="54">
        <f>SUMIF('901 w. Western'!$D$2:$EE$2,'Proforma Summary'!AV$4,'901 w. Western'!$D35:$EE35)</f>
        <v>-24142.62697</v>
      </c>
      <c r="AW35" s="54">
        <f>SUMIF('901 w. Western'!$D$2:$EE$2,'Proforma Summary'!AW$4,'901 w. Western'!$D35:$EE35)</f>
        <v>-24866.90578</v>
      </c>
      <c r="AX35" s="54">
        <f>SUMIF('901 w. Western'!$D$2:$EE$2,'Proforma Summary'!AX$4,'901 w. Western'!$D35:$EE35)</f>
        <v>-25612.91295</v>
      </c>
      <c r="AY35" s="54">
        <f>SUMIF('901 w. Western'!$D$2:$EE$2,'Proforma Summary'!AY$4,'901 w. Western'!$D35:$EE35)</f>
        <v>-26381.30034</v>
      </c>
      <c r="AZ35" s="205">
        <f>SUMIF('901 w. Western'!$D$2:$EE$2,'Proforma Summary'!AZ$4,'901 w. Western'!$D35:$EE35)</f>
        <v>-27172.73935</v>
      </c>
    </row>
    <row r="36" ht="15.75" customHeight="1">
      <c r="A36" s="41"/>
      <c r="B36" s="206" t="str">
        <f>'305 e. Daniel'!C36</f>
        <v>Total Operating Expenses</v>
      </c>
      <c r="C36" s="6"/>
      <c r="D36" s="207">
        <f>SUMIF('305 e. Daniel'!$D$2:$EE$2,'Proforma Summary'!D$4,'305 e. Daniel'!$D36:$EE36)</f>
        <v>-311815.8068</v>
      </c>
      <c r="E36" s="207">
        <f>SUMIF('305 e. Daniel'!$D$2:$EE$2,'Proforma Summary'!E$4,'305 e. Daniel'!$D36:$EE36)</f>
        <v>-321760.3873</v>
      </c>
      <c r="F36" s="207">
        <f>SUMIF('305 e. Daniel'!$D$2:$EE$2,'Proforma Summary'!F$4,'305 e. Daniel'!$D36:$EE36)</f>
        <v>-331413.1989</v>
      </c>
      <c r="G36" s="207">
        <f>SUMIF('305 e. Daniel'!$D$2:$EE$2,'Proforma Summary'!G$4,'305 e. Daniel'!$D36:$EE36)</f>
        <v>-341355.5949</v>
      </c>
      <c r="H36" s="207">
        <f>SUMIF('305 e. Daniel'!$D$2:$EE$2,'Proforma Summary'!H$4,'305 e. Daniel'!$D36:$EE36)</f>
        <v>-351596.2628</v>
      </c>
      <c r="I36" s="207">
        <f>SUMIF('305 e. Daniel'!$D$2:$EE$2,'Proforma Summary'!I$4,'305 e. Daniel'!$D36:$EE36)</f>
        <v>-362144.1506</v>
      </c>
      <c r="J36" s="207">
        <f>SUMIF('305 e. Daniel'!$D$2:$EE$2,'Proforma Summary'!J$4,'305 e. Daniel'!$D36:$EE36)</f>
        <v>-373008.4752</v>
      </c>
      <c r="K36" s="207">
        <f>SUMIF('305 e. Daniel'!$D$2:$EE$2,'Proforma Summary'!K$4,'305 e. Daniel'!$D36:$EE36)</f>
        <v>-384198.7294</v>
      </c>
      <c r="L36" s="207">
        <f>SUMIF('305 e. Daniel'!$D$2:$EE$2,'Proforma Summary'!L$4,'305 e. Daniel'!$D36:$EE36)</f>
        <v>-395724.6913</v>
      </c>
      <c r="M36" s="208">
        <f>SUMIF('305 e. Daniel'!$D$2:$EE$2,'Proforma Summary'!M$4,'305 e. Daniel'!$D36:$EE36)</f>
        <v>-407596.432</v>
      </c>
      <c r="N36" s="41"/>
      <c r="O36" s="206" t="str">
        <f>'75 e. Armory'!C36</f>
        <v>Total Operating Expenses</v>
      </c>
      <c r="P36" s="6"/>
      <c r="Q36" s="207">
        <f>SUMIF('75 e. Armory'!$D$2:$EE$2,'Proforma Summary'!Q$4,'75 e. Armory'!$D36:$EE37)</f>
        <v>-1067941.523</v>
      </c>
      <c r="R36" s="207">
        <f>SUMIF('75 e. Armory'!$D$2:$EE$2,'Proforma Summary'!R$4,'75 e. Armory'!$D36:$EE37)</f>
        <v>-1102023.563</v>
      </c>
      <c r="S36" s="207">
        <f>SUMIF('75 e. Armory'!$D$2:$EE$2,'Proforma Summary'!S$4,'75 e. Armory'!$D36:$EE37)</f>
        <v>-1135084.269</v>
      </c>
      <c r="T36" s="207">
        <f>SUMIF('75 e. Armory'!$D$2:$EE$2,'Proforma Summary'!T$4,'75 e. Armory'!$D36:$EE37)</f>
        <v>-1169136.797</v>
      </c>
      <c r="U36" s="207">
        <f>SUMIF('75 e. Armory'!$D$2:$EE$2,'Proforma Summary'!U$4,'75 e. Armory'!$D36:$EE37)</f>
        <v>-1204210.901</v>
      </c>
      <c r="V36" s="207">
        <f>SUMIF('75 e. Armory'!$D$2:$EE$2,'Proforma Summary'!V$4,'75 e. Armory'!$D36:$EE37)</f>
        <v>-1240337.228</v>
      </c>
      <c r="W36" s="207">
        <f>SUMIF('75 e. Armory'!$D$2:$EE$2,'Proforma Summary'!W$4,'75 e. Armory'!$D36:$EE37)</f>
        <v>-1277547.345</v>
      </c>
      <c r="X36" s="207">
        <f>SUMIF('75 e. Armory'!$D$2:$EE$2,'Proforma Summary'!X$4,'75 e. Armory'!$D36:$EE37)</f>
        <v>-1315873.766</v>
      </c>
      <c r="Y36" s="207">
        <f>SUMIF('75 e. Armory'!$D$2:$EE$2,'Proforma Summary'!Y$4,'75 e. Armory'!$D36:$EE37)</f>
        <v>-1355349.979</v>
      </c>
      <c r="Z36" s="208">
        <f>SUMIF('75 e. Armory'!$D$2:$EE$2,'Proforma Summary'!Z$4,'75 e. Armory'!$D36:$EE37)</f>
        <v>-1396010.478</v>
      </c>
      <c r="AA36" s="41"/>
      <c r="AB36" s="206" t="str">
        <f t="shared" si="7"/>
        <v>Total Operating Expenses</v>
      </c>
      <c r="AC36" s="6"/>
      <c r="AD36" s="54">
        <f>SUMIF('507 s. Second'!$D$2:$EE$2,'Proforma Summary'!AD$4,'507 s. Second'!$D36:$EE36)</f>
        <v>-678932.2276</v>
      </c>
      <c r="AE36" s="54">
        <f>SUMIF('507 s. Second'!$D$2:$EE$2,'Proforma Summary'!AE$4,'507 s. Second'!$D36:$EE36)</f>
        <v>-700522.4078</v>
      </c>
      <c r="AF36" s="54">
        <f>SUMIF('507 s. Second'!$D$2:$EE$2,'Proforma Summary'!AF$4,'507 s. Second'!$D36:$EE36)</f>
        <v>-721538.08</v>
      </c>
      <c r="AG36" s="54">
        <f>SUMIF('507 s. Second'!$D$2:$EE$2,'Proforma Summary'!AG$4,'507 s. Second'!$D36:$EE36)</f>
        <v>-743184.2224</v>
      </c>
      <c r="AH36" s="54">
        <f>SUMIF('507 s. Second'!$D$2:$EE$2,'Proforma Summary'!AH$4,'507 s. Second'!$D36:$EE36)</f>
        <v>-765479.7491</v>
      </c>
      <c r="AI36" s="54">
        <f>SUMIF('507 s. Second'!$D$2:$EE$2,'Proforma Summary'!AI$4,'507 s. Second'!$D36:$EE36)</f>
        <v>-788444.1416</v>
      </c>
      <c r="AJ36" s="54">
        <f>SUMIF('507 s. Second'!$D$2:$EE$2,'Proforma Summary'!AJ$4,'507 s. Second'!$D36:$EE36)</f>
        <v>-812097.4658</v>
      </c>
      <c r="AK36" s="54">
        <f>SUMIF('507 s. Second'!$D$2:$EE$2,'Proforma Summary'!AK$4,'507 s. Second'!$D36:$EE36)</f>
        <v>-836460.3898</v>
      </c>
      <c r="AL36" s="54">
        <f>SUMIF('507 s. Second'!$D$2:$EE$2,'Proforma Summary'!AL$4,'507 s. Second'!$D36:$EE36)</f>
        <v>-861554.2015</v>
      </c>
      <c r="AM36" s="205">
        <f>SUMIF('507 s. Second'!$D$2:$EE$2,'Proforma Summary'!AM$4,'507 s. Second'!$D36:$EE36)</f>
        <v>-885852.5642</v>
      </c>
      <c r="AN36" s="41"/>
      <c r="AO36" s="206" t="str">
        <f t="shared" si="8"/>
        <v>Total Operating Expenses</v>
      </c>
      <c r="AP36" s="6"/>
      <c r="AQ36" s="207">
        <f>SUMIF('901 w. Western'!$D$2:$EE$2,'Proforma Summary'!AQ$4,'901 w. Western'!$D36:$EE36)</f>
        <v>-1133291.795</v>
      </c>
      <c r="AR36" s="207">
        <f>SUMIF('901 w. Western'!$D$2:$EE$2,'Proforma Summary'!AR$4,'901 w. Western'!$D36:$EE36)</f>
        <v>-1169362.663</v>
      </c>
      <c r="AS36" s="207">
        <f>SUMIF('901 w. Western'!$D$2:$EE$2,'Proforma Summary'!AS$4,'901 w. Western'!$D36:$EE36)</f>
        <v>-1204443.543</v>
      </c>
      <c r="AT36" s="207">
        <f>SUMIF('901 w. Western'!$D$2:$EE$2,'Proforma Summary'!AT$4,'901 w. Western'!$D36:$EE36)</f>
        <v>-1240576.849</v>
      </c>
      <c r="AU36" s="207">
        <f>SUMIF('901 w. Western'!$D$2:$EE$2,'Proforma Summary'!AU$4,'901 w. Western'!$D36:$EE36)</f>
        <v>-1277794.154</v>
      </c>
      <c r="AV36" s="207">
        <f>SUMIF('901 w. Western'!$D$2:$EE$2,'Proforma Summary'!AV$4,'901 w. Western'!$D36:$EE36)</f>
        <v>-1316127.979</v>
      </c>
      <c r="AW36" s="207">
        <f>SUMIF('901 w. Western'!$D$2:$EE$2,'Proforma Summary'!AW$4,'901 w. Western'!$D36:$EE36)</f>
        <v>-1355611.818</v>
      </c>
      <c r="AX36" s="207">
        <f>SUMIF('901 w. Western'!$D$2:$EE$2,'Proforma Summary'!AX$4,'901 w. Western'!$D36:$EE36)</f>
        <v>-1396280.173</v>
      </c>
      <c r="AY36" s="207">
        <f>SUMIF('901 w. Western'!$D$2:$EE$2,'Proforma Summary'!AY$4,'901 w. Western'!$D36:$EE36)</f>
        <v>-1438168.578</v>
      </c>
      <c r="AZ36" s="208">
        <f>SUMIF('901 w. Western'!$D$2:$EE$2,'Proforma Summary'!AZ$4,'901 w. Western'!$D36:$EE36)</f>
        <v>-1478688.743</v>
      </c>
    </row>
    <row r="37" ht="15.75" customHeight="1">
      <c r="A37" s="41"/>
      <c r="B37" s="200"/>
      <c r="C37" s="70"/>
      <c r="D37" s="54"/>
      <c r="E37" s="54"/>
      <c r="F37" s="54"/>
      <c r="G37" s="54"/>
      <c r="H37" s="54"/>
      <c r="I37" s="54"/>
      <c r="J37" s="54"/>
      <c r="K37" s="54"/>
      <c r="L37" s="54"/>
      <c r="M37" s="205"/>
      <c r="N37" s="41"/>
      <c r="O37" s="200"/>
      <c r="P37" s="70"/>
      <c r="Q37" s="54"/>
      <c r="R37" s="54"/>
      <c r="S37" s="54"/>
      <c r="T37" s="54"/>
      <c r="U37" s="54"/>
      <c r="V37" s="54"/>
      <c r="W37" s="54"/>
      <c r="X37" s="54"/>
      <c r="Y37" s="54"/>
      <c r="Z37" s="205"/>
      <c r="AA37" s="41"/>
      <c r="AB37" s="200"/>
      <c r="AC37" s="70"/>
      <c r="AD37" s="54"/>
      <c r="AE37" s="54"/>
      <c r="AF37" s="54"/>
      <c r="AG37" s="54"/>
      <c r="AH37" s="54"/>
      <c r="AI37" s="54"/>
      <c r="AJ37" s="54"/>
      <c r="AK37" s="54"/>
      <c r="AL37" s="54"/>
      <c r="AM37" s="205"/>
      <c r="AN37" s="41"/>
      <c r="AO37" s="200"/>
      <c r="AP37" s="70"/>
      <c r="AQ37" s="54"/>
      <c r="AR37" s="54"/>
      <c r="AS37" s="54"/>
      <c r="AT37" s="54"/>
      <c r="AU37" s="54"/>
      <c r="AV37" s="54"/>
      <c r="AW37" s="54"/>
      <c r="AX37" s="54"/>
      <c r="AY37" s="54"/>
      <c r="AZ37" s="205"/>
    </row>
    <row r="38" ht="15.75" customHeight="1">
      <c r="A38" s="41"/>
      <c r="B38" s="202" t="str">
        <f>'305 e. Daniel'!C38</f>
        <v>Net Operating Income</v>
      </c>
      <c r="C38" s="47"/>
      <c r="D38" s="213">
        <f>SUMIF('305 e. Daniel'!$D$2:$EE$2,'Proforma Summary'!D$4,'305 e. Daniel'!$D38:$EE38)</f>
        <v>350022.4412</v>
      </c>
      <c r="E38" s="213">
        <f>SUMIF('305 e. Daniel'!$D$2:$EE$2,'Proforma Summary'!E$4,'305 e. Daniel'!$D38:$EE38)</f>
        <v>404327.3965</v>
      </c>
      <c r="F38" s="213">
        <f>SUMIF('305 e. Daniel'!$D$2:$EE$2,'Proforma Summary'!F$4,'305 e. Daniel'!$D38:$EE38)</f>
        <v>416457.2184</v>
      </c>
      <c r="G38" s="213">
        <f>SUMIF('305 e. Daniel'!$D$2:$EE$2,'Proforma Summary'!G$4,'305 e. Daniel'!$D38:$EE38)</f>
        <v>428950.935</v>
      </c>
      <c r="H38" s="213">
        <f>SUMIF('305 e. Daniel'!$D$2:$EE$2,'Proforma Summary'!H$4,'305 e. Daniel'!$D38:$EE38)</f>
        <v>441819.463</v>
      </c>
      <c r="I38" s="213">
        <f>SUMIF('305 e. Daniel'!$D$2:$EE$2,'Proforma Summary'!I$4,'305 e. Daniel'!$D38:$EE38)</f>
        <v>455074.0469</v>
      </c>
      <c r="J38" s="213">
        <f>SUMIF('305 e. Daniel'!$D$2:$EE$2,'Proforma Summary'!J$4,'305 e. Daniel'!$D38:$EE38)</f>
        <v>468726.2683</v>
      </c>
      <c r="K38" s="213">
        <f>SUMIF('305 e. Daniel'!$D$2:$EE$2,'Proforma Summary'!K$4,'305 e. Daniel'!$D38:$EE38)</f>
        <v>482788.0564</v>
      </c>
      <c r="L38" s="213">
        <f>SUMIF('305 e. Daniel'!$D$2:$EE$2,'Proforma Summary'!L$4,'305 e. Daniel'!$D38:$EE38)</f>
        <v>497271.6981</v>
      </c>
      <c r="M38" s="214">
        <f>SUMIF('305 e. Daniel'!$D$2:$EE$2,'Proforma Summary'!M$4,'305 e. Daniel'!$D38:$EE38)</f>
        <v>512189.849</v>
      </c>
      <c r="N38" s="41"/>
      <c r="O38" s="202" t="str">
        <f>'75 e. Armory'!C38</f>
        <v>Net Operating Income</v>
      </c>
      <c r="P38" s="47"/>
      <c r="Q38" s="213">
        <f>SUMIF('75 e. Armory'!$D$2:$EE$2,'Proforma Summary'!Q$4,'75 e. Armory'!$D38:$EE39)</f>
        <v>1257229.659</v>
      </c>
      <c r="R38" s="213">
        <f>SUMIF('75 e. Armory'!$D$2:$EE$2,'Proforma Summary'!R$4,'75 e. Armory'!$D38:$EE39)</f>
        <v>1458840.66</v>
      </c>
      <c r="S38" s="213">
        <f>SUMIF('75 e. Armory'!$D$2:$EE$2,'Proforma Summary'!S$4,'75 e. Armory'!$D38:$EE39)</f>
        <v>1502605.879</v>
      </c>
      <c r="T38" s="213">
        <f>SUMIF('75 e. Armory'!$D$2:$EE$2,'Proforma Summary'!T$4,'75 e. Armory'!$D38:$EE39)</f>
        <v>1547684.056</v>
      </c>
      <c r="U38" s="213">
        <f>SUMIF('75 e. Armory'!$D$2:$EE$2,'Proforma Summary'!U$4,'75 e. Armory'!$D38:$EE39)</f>
        <v>1594114.577</v>
      </c>
      <c r="V38" s="213">
        <f>SUMIF('75 e. Armory'!$D$2:$EE$2,'Proforma Summary'!V$4,'75 e. Armory'!$D38:$EE39)</f>
        <v>1641938.015</v>
      </c>
      <c r="W38" s="213">
        <f>SUMIF('75 e. Armory'!$D$2:$EE$2,'Proforma Summary'!W$4,'75 e. Armory'!$D38:$EE39)</f>
        <v>1691196.155</v>
      </c>
      <c r="X38" s="213">
        <f>SUMIF('75 e. Armory'!$D$2:$EE$2,'Proforma Summary'!X$4,'75 e. Armory'!$D38:$EE39)</f>
        <v>1741932.04</v>
      </c>
      <c r="Y38" s="213">
        <f>SUMIF('75 e. Armory'!$D$2:$EE$2,'Proforma Summary'!Y$4,'75 e. Armory'!$D38:$EE39)</f>
        <v>1794190.001</v>
      </c>
      <c r="Z38" s="214">
        <f>SUMIF('75 e. Armory'!$D$2:$EE$2,'Proforma Summary'!Z$4,'75 e. Armory'!$D38:$EE39)</f>
        <v>1848015.701</v>
      </c>
      <c r="AA38" s="41"/>
      <c r="AB38" s="202" t="str">
        <f>O38</f>
        <v>Net Operating Income</v>
      </c>
      <c r="AC38" s="47"/>
      <c r="AD38" s="213">
        <f>SUMIF('507 s. Second'!$D$2:$EE$2,'Proforma Summary'!AD$4,'507 s. Second'!$D38:$EE38)</f>
        <v>718022.1911</v>
      </c>
      <c r="AE38" s="213">
        <f>SUMIF('507 s. Second'!$D$2:$EE$2,'Proforma Summary'!AE$4,'507 s. Second'!$D38:$EE38)</f>
        <v>837930.479</v>
      </c>
      <c r="AF38" s="213">
        <f>SUMIF('507 s. Second'!$D$2:$EE$2,'Proforma Summary'!AF$4,'507 s. Second'!$D38:$EE38)</f>
        <v>863068.3934</v>
      </c>
      <c r="AG38" s="213">
        <f>SUMIF('507 s. Second'!$D$2:$EE$2,'Proforma Summary'!AG$4,'507 s. Second'!$D38:$EE38)</f>
        <v>888960.4452</v>
      </c>
      <c r="AH38" s="213">
        <f>SUMIF('507 s. Second'!$D$2:$EE$2,'Proforma Summary'!AH$4,'507 s. Second'!$D38:$EE38)</f>
        <v>915629.2586</v>
      </c>
      <c r="AI38" s="213">
        <f>SUMIF('507 s. Second'!$D$2:$EE$2,'Proforma Summary'!AI$4,'507 s. Second'!$D38:$EE38)</f>
        <v>943098.1363</v>
      </c>
      <c r="AJ38" s="213">
        <f>SUMIF('507 s. Second'!$D$2:$EE$2,'Proforma Summary'!AJ$4,'507 s. Second'!$D38:$EE38)</f>
        <v>971391.0804</v>
      </c>
      <c r="AK38" s="213">
        <f>SUMIF('507 s. Second'!$D$2:$EE$2,'Proforma Summary'!AK$4,'507 s. Second'!$D38:$EE38)</f>
        <v>1000532.813</v>
      </c>
      <c r="AL38" s="213">
        <f>SUMIF('507 s. Second'!$D$2:$EE$2,'Proforma Summary'!AL$4,'507 s. Second'!$D38:$EE38)</f>
        <v>1030548.797</v>
      </c>
      <c r="AM38" s="214">
        <f>SUMIF('507 s. Second'!$D$2:$EE$2,'Proforma Summary'!AM$4,'507 s. Second'!$D38:$EE38)</f>
        <v>1011404.749</v>
      </c>
      <c r="AN38" s="41"/>
      <c r="AO38" s="202" t="str">
        <f>AB38</f>
        <v>Net Operating Income</v>
      </c>
      <c r="AP38" s="47"/>
      <c r="AQ38" s="209">
        <f>SUMIF('901 w. Western'!$D$2:$EE$2,'Proforma Summary'!AQ$4,'901 w. Western'!$D38:$EE38)</f>
        <v>1192577.434</v>
      </c>
      <c r="AR38" s="209">
        <f>SUMIF('901 w. Western'!$D$2:$EE$2,'Proforma Summary'!AR$4,'901 w. Western'!$D38:$EE38)</f>
        <v>1393708.199</v>
      </c>
      <c r="AS38" s="209">
        <f>SUMIF('901 w. Western'!$D$2:$EE$2,'Proforma Summary'!AS$4,'901 w. Western'!$D38:$EE38)</f>
        <v>1435519.445</v>
      </c>
      <c r="AT38" s="209">
        <f>SUMIF('901 w. Western'!$D$2:$EE$2,'Proforma Summary'!AT$4,'901 w. Western'!$D38:$EE38)</f>
        <v>1478585.028</v>
      </c>
      <c r="AU38" s="209">
        <f>SUMIF('901 w. Western'!$D$2:$EE$2,'Proforma Summary'!AU$4,'901 w. Western'!$D38:$EE38)</f>
        <v>1522942.579</v>
      </c>
      <c r="AV38" s="209">
        <f>SUMIF('901 w. Western'!$D$2:$EE$2,'Proforma Summary'!AV$4,'901 w. Western'!$D38:$EE38)</f>
        <v>1568630.857</v>
      </c>
      <c r="AW38" s="209">
        <f>SUMIF('901 w. Western'!$D$2:$EE$2,'Proforma Summary'!AW$4,'901 w. Western'!$D38:$EE38)</f>
        <v>1615689.782</v>
      </c>
      <c r="AX38" s="209">
        <f>SUMIF('901 w. Western'!$D$2:$EE$2,'Proforma Summary'!AX$4,'901 w. Western'!$D38:$EE38)</f>
        <v>1664160.476</v>
      </c>
      <c r="AY38" s="209">
        <f>SUMIF('901 w. Western'!$D$2:$EE$2,'Proforma Summary'!AY$4,'901 w. Western'!$D38:$EE38)</f>
        <v>1714085.29</v>
      </c>
      <c r="AZ38" s="210">
        <f>SUMIF('901 w. Western'!$D$2:$EE$2,'Proforma Summary'!AZ$4,'901 w. Western'!$D38:$EE38)</f>
        <v>1680636.332</v>
      </c>
    </row>
    <row r="39" ht="15.75" customHeight="1">
      <c r="A39" s="41"/>
      <c r="B39" s="200"/>
      <c r="C39" s="70"/>
      <c r="D39" s="1"/>
      <c r="E39" s="1"/>
      <c r="F39" s="1"/>
      <c r="G39" s="1"/>
      <c r="H39" s="132"/>
      <c r="I39" s="132"/>
      <c r="J39" s="132"/>
      <c r="K39" s="132"/>
      <c r="L39" s="132"/>
      <c r="M39" s="215"/>
      <c r="N39" s="41"/>
      <c r="O39" s="200"/>
      <c r="P39" s="1"/>
      <c r="Q39" s="1"/>
      <c r="R39" s="1"/>
      <c r="S39" s="1"/>
      <c r="T39" s="1"/>
      <c r="U39" s="1"/>
      <c r="V39" s="1"/>
      <c r="W39" s="1"/>
      <c r="X39" s="1"/>
      <c r="Y39" s="1"/>
      <c r="Z39" s="201"/>
      <c r="AA39" s="41"/>
      <c r="AB39" s="200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201"/>
      <c r="AN39" s="41"/>
      <c r="AO39" s="200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201"/>
    </row>
    <row r="40" ht="15.75" customHeight="1">
      <c r="A40" s="41"/>
      <c r="B40" s="216" t="str">
        <f>'305 e. Daniel'!C40</f>
        <v>Capital Expenditure</v>
      </c>
      <c r="C40" s="92"/>
      <c r="D40" s="209">
        <f>-SUMIF('305 e. Daniel'!$D$2:$EE$2,'Proforma Summary'!D$4,'305 e. Daniel'!$D40:$EE40)</f>
        <v>0</v>
      </c>
      <c r="E40" s="209">
        <f>-SUMIF('305 e. Daniel'!$D$2:$EE$2,'Proforma Summary'!E$4,'305 e. Daniel'!$D40:$EE40)</f>
        <v>0</v>
      </c>
      <c r="F40" s="209">
        <f>-SUMIF('305 e. Daniel'!$D$2:$EE$2,'Proforma Summary'!F$4,'305 e. Daniel'!$D40:$EE40)</f>
        <v>0</v>
      </c>
      <c r="G40" s="209">
        <f>-SUMIF('305 e. Daniel'!$D$2:$EE$2,'Proforma Summary'!G$4,'305 e. Daniel'!$D40:$EE40)</f>
        <v>0</v>
      </c>
      <c r="H40" s="209">
        <f>-SUMIF('305 e. Daniel'!$D$2:$EE$2,'Proforma Summary'!H$4,'305 e. Daniel'!$D40:$EE40)</f>
        <v>0</v>
      </c>
      <c r="I40" s="209">
        <f>-SUMIF('305 e. Daniel'!$D$2:$EE$2,'Proforma Summary'!I$4,'305 e. Daniel'!$D40:$EE40)</f>
        <v>0</v>
      </c>
      <c r="J40" s="209">
        <f>-SUMIF('305 e. Daniel'!$D$2:$EE$2,'Proforma Summary'!J$4,'305 e. Daniel'!$D40:$EE40)</f>
        <v>0</v>
      </c>
      <c r="K40" s="209">
        <f>-SUMIF('305 e. Daniel'!$D$2:$EE$2,'Proforma Summary'!K$4,'305 e. Daniel'!$D40:$EE40)</f>
        <v>0</v>
      </c>
      <c r="L40" s="209">
        <f>-SUMIF('305 e. Daniel'!$D$2:$EE$2,'Proforma Summary'!L$4,'305 e. Daniel'!$D40:$EE40)</f>
        <v>0</v>
      </c>
      <c r="M40" s="210">
        <f>-SUMIF('305 e. Daniel'!$D$2:$EE$2,'Proforma Summary'!M$4,'305 e. Daniel'!$D40:$EE40)</f>
        <v>0</v>
      </c>
      <c r="N40" s="41"/>
      <c r="O40" s="216" t="str">
        <f>'75 e. Armory'!C40</f>
        <v>Capital Expenditure</v>
      </c>
      <c r="P40" s="92"/>
      <c r="Q40" s="209">
        <f>-SUMIF('75 e. Armory'!$D$2:$EE$2,'Proforma Summary'!Q$4,'75 e. Armory'!$D40:$EE41)</f>
        <v>0</v>
      </c>
      <c r="R40" s="209">
        <f>-SUMIF('75 e. Armory'!$D$2:$EE$2,'Proforma Summary'!R$4,'75 e. Armory'!$D40:$EE41)</f>
        <v>0</v>
      </c>
      <c r="S40" s="209">
        <f>-SUMIF('75 e. Armory'!$D$2:$EE$2,'Proforma Summary'!S$4,'75 e. Armory'!$D40:$EE41)</f>
        <v>0</v>
      </c>
      <c r="T40" s="209">
        <f>-SUMIF('75 e. Armory'!$D$2:$EE$2,'Proforma Summary'!T$4,'75 e. Armory'!$D40:$EE41)</f>
        <v>0</v>
      </c>
      <c r="U40" s="209">
        <f>-SUMIF('75 e. Armory'!$D$2:$EE$2,'Proforma Summary'!U$4,'75 e. Armory'!$D40:$EE41)</f>
        <v>0</v>
      </c>
      <c r="V40" s="209">
        <f>-SUMIF('75 e. Armory'!$D$2:$EE$2,'Proforma Summary'!V$4,'75 e. Armory'!$D40:$EE41)</f>
        <v>0</v>
      </c>
      <c r="W40" s="209">
        <f>-SUMIF('75 e. Armory'!$D$2:$EE$2,'Proforma Summary'!W$4,'75 e. Armory'!$D40:$EE41)</f>
        <v>0</v>
      </c>
      <c r="X40" s="209">
        <f>-SUMIF('75 e. Armory'!$D$2:$EE$2,'Proforma Summary'!X$4,'75 e. Armory'!$D40:$EE41)</f>
        <v>0</v>
      </c>
      <c r="Y40" s="209">
        <f>-SUMIF('75 e. Armory'!$D$2:$EE$2,'Proforma Summary'!Y$4,'75 e. Armory'!$D40:$EE41)</f>
        <v>0</v>
      </c>
      <c r="Z40" s="210">
        <f>-SUMIF('75 e. Armory'!$D$2:$EE$2,'Proforma Summary'!Z$4,'75 e. Armory'!$D40:$EE41)</f>
        <v>0</v>
      </c>
      <c r="AA40" s="41"/>
      <c r="AB40" s="216" t="str">
        <f>O40</f>
        <v>Capital Expenditure</v>
      </c>
      <c r="AC40" s="92"/>
      <c r="AD40" s="209">
        <f>-SUMIF('507 s. Second'!$D$2:$EE$2,'Proforma Summary'!AD$4,'507 s. Second'!$D40:$EE40)</f>
        <v>0</v>
      </c>
      <c r="AE40" s="209">
        <f>-SUMIF('507 s. Second'!$D$2:$EE$2,'Proforma Summary'!AE$4,'507 s. Second'!$D40:$EE40)</f>
        <v>0</v>
      </c>
      <c r="AF40" s="209">
        <f>-SUMIF('507 s. Second'!$D$2:$EE$2,'Proforma Summary'!AF$4,'507 s. Second'!$D40:$EE40)</f>
        <v>0</v>
      </c>
      <c r="AG40" s="209">
        <f>-SUMIF('507 s. Second'!$D$2:$EE$2,'Proforma Summary'!AG$4,'507 s. Second'!$D40:$EE40)</f>
        <v>0</v>
      </c>
      <c r="AH40" s="209">
        <f>-SUMIF('507 s. Second'!$D$2:$EE$2,'Proforma Summary'!AH$4,'507 s. Second'!$D40:$EE40)</f>
        <v>0</v>
      </c>
      <c r="AI40" s="209">
        <f>-SUMIF('507 s. Second'!$D$2:$EE$2,'Proforma Summary'!AI$4,'507 s. Second'!$D40:$EE40)</f>
        <v>0</v>
      </c>
      <c r="AJ40" s="209">
        <f>-SUMIF('507 s. Second'!$D$2:$EE$2,'Proforma Summary'!AJ$4,'507 s. Second'!$D40:$EE40)</f>
        <v>0</v>
      </c>
      <c r="AK40" s="209">
        <f>-SUMIF('507 s. Second'!$D$2:$EE$2,'Proforma Summary'!AK$4,'507 s. Second'!$D40:$EE40)</f>
        <v>0</v>
      </c>
      <c r="AL40" s="209">
        <f>-SUMIF('507 s. Second'!$D$2:$EE$2,'Proforma Summary'!AL$4,'507 s. Second'!$D40:$EE40)</f>
        <v>0</v>
      </c>
      <c r="AM40" s="210">
        <f>-SUMIF('507 s. Second'!$D$2:$EE$2,'Proforma Summary'!AM$4,'507 s. Second'!$D40:$EE40)</f>
        <v>0</v>
      </c>
      <c r="AN40" s="41"/>
      <c r="AO40" s="216" t="str">
        <f>AB40</f>
        <v>Capital Expenditure</v>
      </c>
      <c r="AP40" s="92"/>
      <c r="AQ40" s="209">
        <f>-SUMIF('901 w. Western'!$D$2:$EE$2,'Proforma Summary'!AQ$4,'901 w. Western'!$D40:$EE40)</f>
        <v>0</v>
      </c>
      <c r="AR40" s="209">
        <f>-SUMIF('901 w. Western'!$D$2:$EE$2,'Proforma Summary'!AR$4,'901 w. Western'!$D40:$EE40)</f>
        <v>0</v>
      </c>
      <c r="AS40" s="209">
        <f>-SUMIF('901 w. Western'!$D$2:$EE$2,'Proforma Summary'!AS$4,'901 w. Western'!$D40:$EE40)</f>
        <v>0</v>
      </c>
      <c r="AT40" s="209">
        <f>-SUMIF('901 w. Western'!$D$2:$EE$2,'Proforma Summary'!AT$4,'901 w. Western'!$D40:$EE40)</f>
        <v>0</v>
      </c>
      <c r="AU40" s="209">
        <f>-SUMIF('901 w. Western'!$D$2:$EE$2,'Proforma Summary'!AU$4,'901 w. Western'!$D40:$EE40)</f>
        <v>0</v>
      </c>
      <c r="AV40" s="209">
        <f>-SUMIF('901 w. Western'!$D$2:$EE$2,'Proforma Summary'!AV$4,'901 w. Western'!$D40:$EE40)</f>
        <v>0</v>
      </c>
      <c r="AW40" s="209">
        <f>-SUMIF('901 w. Western'!$D$2:$EE$2,'Proforma Summary'!AW$4,'901 w. Western'!$D40:$EE40)</f>
        <v>0</v>
      </c>
      <c r="AX40" s="209">
        <f>-SUMIF('901 w. Western'!$D$2:$EE$2,'Proforma Summary'!AX$4,'901 w. Western'!$D40:$EE40)</f>
        <v>0</v>
      </c>
      <c r="AY40" s="209">
        <f>-SUMIF('901 w. Western'!$D$2:$EE$2,'Proforma Summary'!AY$4,'901 w. Western'!$D40:$EE40)</f>
        <v>0</v>
      </c>
      <c r="AZ40" s="210">
        <f>-SUMIF('901 w. Western'!$D$2:$EE$2,'Proforma Summary'!AZ$4,'901 w. Western'!$D40:$EE40)</f>
        <v>0</v>
      </c>
    </row>
    <row r="41" ht="15.75" customHeight="1">
      <c r="A41" s="41"/>
      <c r="B41" s="200"/>
      <c r="C41" s="1"/>
      <c r="D41" s="1"/>
      <c r="E41" s="1"/>
      <c r="F41" s="1"/>
      <c r="G41" s="1"/>
      <c r="H41" s="1"/>
      <c r="I41" s="1"/>
      <c r="J41" s="1"/>
      <c r="K41" s="1"/>
      <c r="L41" s="1"/>
      <c r="M41" s="201"/>
      <c r="N41" s="41"/>
      <c r="O41" s="200"/>
      <c r="P41" s="1"/>
      <c r="Q41" s="1"/>
      <c r="R41" s="1"/>
      <c r="S41" s="1"/>
      <c r="T41" s="1"/>
      <c r="U41" s="1"/>
      <c r="V41" s="1"/>
      <c r="W41" s="1"/>
      <c r="X41" s="1"/>
      <c r="Y41" s="1"/>
      <c r="Z41" s="201"/>
      <c r="AA41" s="41"/>
      <c r="AB41" s="200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201"/>
      <c r="AN41" s="41"/>
      <c r="AO41" s="200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201"/>
    </row>
    <row r="42" ht="15.75" customHeight="1">
      <c r="A42" s="41"/>
      <c r="B42" s="200" t="s">
        <v>149</v>
      </c>
      <c r="C42" s="70"/>
      <c r="D42" s="217">
        <f t="shared" ref="D42:M42" si="9">-D36/D21</f>
        <v>0.4711359728</v>
      </c>
      <c r="E42" s="217">
        <f t="shared" si="9"/>
        <v>0.4431425435</v>
      </c>
      <c r="F42" s="217">
        <f t="shared" si="9"/>
        <v>0.4431425435</v>
      </c>
      <c r="G42" s="217">
        <f t="shared" si="9"/>
        <v>0.4431425435</v>
      </c>
      <c r="H42" s="217">
        <f t="shared" si="9"/>
        <v>0.4431425435</v>
      </c>
      <c r="I42" s="217">
        <f t="shared" si="9"/>
        <v>0.4431425435</v>
      </c>
      <c r="J42" s="217">
        <f t="shared" si="9"/>
        <v>0.4431425435</v>
      </c>
      <c r="K42" s="217">
        <f t="shared" si="9"/>
        <v>0.4431425435</v>
      </c>
      <c r="L42" s="217">
        <f t="shared" si="9"/>
        <v>0.4431425435</v>
      </c>
      <c r="M42" s="218">
        <f t="shared" si="9"/>
        <v>0.4431425435</v>
      </c>
      <c r="N42" s="41"/>
      <c r="O42" s="200" t="s">
        <v>149</v>
      </c>
      <c r="P42" s="1"/>
      <c r="Q42" s="217">
        <f t="shared" ref="Q42:Z42" si="10">-Q36/Q21</f>
        <v>0.4592958709</v>
      </c>
      <c r="R42" s="217">
        <f t="shared" si="10"/>
        <v>0.4303326795</v>
      </c>
      <c r="S42" s="217">
        <f t="shared" si="10"/>
        <v>0.4303326795</v>
      </c>
      <c r="T42" s="217">
        <f t="shared" si="10"/>
        <v>0.4303326795</v>
      </c>
      <c r="U42" s="217">
        <f t="shared" si="10"/>
        <v>0.4303326795</v>
      </c>
      <c r="V42" s="217">
        <f t="shared" si="10"/>
        <v>0.4303326795</v>
      </c>
      <c r="W42" s="217">
        <f t="shared" si="10"/>
        <v>0.4303326795</v>
      </c>
      <c r="X42" s="217">
        <f t="shared" si="10"/>
        <v>0.4303326795</v>
      </c>
      <c r="Y42" s="217">
        <f t="shared" si="10"/>
        <v>0.4303326795</v>
      </c>
      <c r="Z42" s="218">
        <f t="shared" si="10"/>
        <v>0.4303326795</v>
      </c>
      <c r="AA42" s="41"/>
      <c r="AB42" s="200" t="s">
        <v>149</v>
      </c>
      <c r="AC42" s="1"/>
      <c r="AD42" s="217">
        <f t="shared" ref="AD42:AM42" si="11">-AD36/AD21</f>
        <v>0.4860088622</v>
      </c>
      <c r="AE42" s="217">
        <f t="shared" si="11"/>
        <v>0.4553421257</v>
      </c>
      <c r="AF42" s="217">
        <f t="shared" si="11"/>
        <v>0.4553421257</v>
      </c>
      <c r="AG42" s="217">
        <f t="shared" si="11"/>
        <v>0.4553421257</v>
      </c>
      <c r="AH42" s="217">
        <f t="shared" si="11"/>
        <v>0.4553421257</v>
      </c>
      <c r="AI42" s="217">
        <f t="shared" si="11"/>
        <v>0.4553421257</v>
      </c>
      <c r="AJ42" s="217">
        <f t="shared" si="11"/>
        <v>0.4553421257</v>
      </c>
      <c r="AK42" s="217">
        <f t="shared" si="11"/>
        <v>0.4553421257</v>
      </c>
      <c r="AL42" s="217">
        <f t="shared" si="11"/>
        <v>0.4553421257</v>
      </c>
      <c r="AM42" s="218">
        <f t="shared" si="11"/>
        <v>0.4669121886</v>
      </c>
      <c r="AN42" s="41"/>
      <c r="AO42" s="200" t="s">
        <v>149</v>
      </c>
      <c r="AP42" s="1"/>
      <c r="AQ42" s="217">
        <f t="shared" ref="AQ42:AZ42" si="12">-AQ36/AQ21</f>
        <v>0.487255165</v>
      </c>
      <c r="AR42" s="217">
        <f t="shared" si="12"/>
        <v>0.4562350109</v>
      </c>
      <c r="AS42" s="217">
        <f t="shared" si="12"/>
        <v>0.4562350109</v>
      </c>
      <c r="AT42" s="217">
        <f t="shared" si="12"/>
        <v>0.4562350109</v>
      </c>
      <c r="AU42" s="217">
        <f t="shared" si="12"/>
        <v>0.4562350109</v>
      </c>
      <c r="AV42" s="217">
        <f t="shared" si="12"/>
        <v>0.4562350109</v>
      </c>
      <c r="AW42" s="217">
        <f t="shared" si="12"/>
        <v>0.4562350109</v>
      </c>
      <c r="AX42" s="217">
        <f t="shared" si="12"/>
        <v>0.4562350109</v>
      </c>
      <c r="AY42" s="217">
        <f t="shared" si="12"/>
        <v>0.4562350109</v>
      </c>
      <c r="AZ42" s="218">
        <f t="shared" si="12"/>
        <v>0.4680394413</v>
      </c>
    </row>
    <row r="43" ht="15.75" customHeight="1">
      <c r="A43" s="41"/>
      <c r="B43" s="200" t="s">
        <v>150</v>
      </c>
      <c r="C43" s="1"/>
      <c r="D43" s="54">
        <f>SUMIF('305 e. Daniel'!$D$2:$EE$2,'Proforma Summary'!D$4,'305 e. Daniel'!$D$46:$EE$46)</f>
        <v>0</v>
      </c>
      <c r="E43" s="54">
        <f>SUMIF('305 e. Daniel'!$D$2:$EE$2,'Proforma Summary'!E$4,'305 e. Daniel'!$D$46:$EE$46)</f>
        <v>0</v>
      </c>
      <c r="F43" s="54">
        <f>SUMIF('305 e. Daniel'!$D$2:$EE$2,'Proforma Summary'!F$4,'305 e. Daniel'!$D$46:$EE$46)</f>
        <v>0</v>
      </c>
      <c r="G43" s="54">
        <f>SUMIF('305 e. Daniel'!$D$2:$EE$2,'Proforma Summary'!G$4,'305 e. Daniel'!$D$46:$EE$46)</f>
        <v>266219.0464</v>
      </c>
      <c r="H43" s="54">
        <f>SUMIF('305 e. Daniel'!$D$2:$EE$2,'Proforma Summary'!H$4,'305 e. Daniel'!$D$46:$EE$46)</f>
        <v>266219.0464</v>
      </c>
      <c r="I43" s="54">
        <f>SUMIF('305 e. Daniel'!$D$2:$EE$2,'Proforma Summary'!I$4,'305 e. Daniel'!$D$46:$EE$46)</f>
        <v>266219.0464</v>
      </c>
      <c r="J43" s="54">
        <f>SUMIF('305 e. Daniel'!$D$2:$EE$2,'Proforma Summary'!J$4,'305 e. Daniel'!$D$46:$EE$46)</f>
        <v>266219.0464</v>
      </c>
      <c r="K43" s="54">
        <f>SUMIF('305 e. Daniel'!$D$2:$EE$2,'Proforma Summary'!K$4,'305 e. Daniel'!$D$46:$EE$46)</f>
        <v>266219.0464</v>
      </c>
      <c r="L43" s="54">
        <f>SUMIF('305 e. Daniel'!$D$2:$EE$2,'Proforma Summary'!L$4,'305 e. Daniel'!$D$46:$EE$46)</f>
        <v>266219.0464</v>
      </c>
      <c r="M43" s="205">
        <f>SUMIF('305 e. Daniel'!$D$2:$EE$2,'Proforma Summary'!M$4,'305 e. Daniel'!$D$46:$EE$46)</f>
        <v>266219.0464</v>
      </c>
      <c r="N43" s="41"/>
      <c r="O43" s="200" t="s">
        <v>150</v>
      </c>
      <c r="P43" s="1"/>
      <c r="Q43" s="54">
        <f>SUMIF('75 e. Armory'!$D$2:$EE$2,'Proforma Summary'!Q4,'75 e. Armory'!$D$46:$EE$46)</f>
        <v>0</v>
      </c>
      <c r="R43" s="54">
        <f>SUMIF('75 e. Armory'!$D$2:$EE$2,'Proforma Summary'!R4,'75 e. Armory'!$D$46:$EE$46)</f>
        <v>0</v>
      </c>
      <c r="S43" s="54">
        <f>SUMIF('75 e. Armory'!$D$2:$EE$2,'Proforma Summary'!S4,'75 e. Armory'!$D$46:$EE$46)</f>
        <v>0</v>
      </c>
      <c r="T43" s="54">
        <f>SUMIF('75 e. Armory'!$D$2:$EE$2,'Proforma Summary'!T4,'75 e. Armory'!$D$46:$EE$46)</f>
        <v>956220.0638</v>
      </c>
      <c r="U43" s="54">
        <f>SUMIF('75 e. Armory'!$D$2:$EE$2,'Proforma Summary'!U4,'75 e. Armory'!$D$46:$EE$46)</f>
        <v>956220.0638</v>
      </c>
      <c r="V43" s="54">
        <f>SUMIF('75 e. Armory'!$D$2:$EE$2,'Proforma Summary'!V4,'75 e. Armory'!$D$46:$EE$46)</f>
        <v>956220.0638</v>
      </c>
      <c r="W43" s="54">
        <f>SUMIF('75 e. Armory'!$D$2:$EE$2,'Proforma Summary'!W4,'75 e. Armory'!$D$46:$EE$46)</f>
        <v>956220.0638</v>
      </c>
      <c r="X43" s="54">
        <f>SUMIF('75 e. Armory'!$D$2:$EE$2,'Proforma Summary'!X4,'75 e. Armory'!$D$46:$EE$46)</f>
        <v>956220.0638</v>
      </c>
      <c r="Y43" s="54">
        <f>SUMIF('75 e. Armory'!$D$2:$EE$2,'Proforma Summary'!Y4,'75 e. Armory'!$D$46:$EE$46)</f>
        <v>956220.0638</v>
      </c>
      <c r="Z43" s="205">
        <f>SUMIF('75 e. Armory'!$D$2:$EE$2,'Proforma Summary'!Z4,'75 e. Armory'!$D$46:$EE$46)</f>
        <v>956220.0638</v>
      </c>
      <c r="AA43" s="41"/>
      <c r="AB43" s="200" t="s">
        <v>150</v>
      </c>
      <c r="AC43" s="1"/>
      <c r="AD43" s="54">
        <f>SUMIF('507 s. Second'!$D$2:$EE$2,'Proforma Summary'!AD$4,'507 s. Second'!$D$46:$EE$46)</f>
        <v>0</v>
      </c>
      <c r="AE43" s="54">
        <f>SUMIF('507 s. Second'!$D$2:$EE$2,'Proforma Summary'!AE$4,'507 s. Second'!$D$46:$EE$46)</f>
        <v>0</v>
      </c>
      <c r="AF43" s="54">
        <f>SUMIF('507 s. Second'!$D$2:$EE$2,'Proforma Summary'!AF$4,'507 s. Second'!$D$46:$EE$46)</f>
        <v>0</v>
      </c>
      <c r="AG43" s="54">
        <f>SUMIF('507 s. Second'!$D$2:$EE$2,'Proforma Summary'!AG$4,'507 s. Second'!$D$46:$EE$46)</f>
        <v>546111.222</v>
      </c>
      <c r="AH43" s="54">
        <f>SUMIF('507 s. Second'!$D$2:$EE$2,'Proforma Summary'!AH$4,'507 s. Second'!$D$46:$EE$46)</f>
        <v>546111.222</v>
      </c>
      <c r="AI43" s="54">
        <f>SUMIF('507 s. Second'!$D$2:$EE$2,'Proforma Summary'!AI$4,'507 s. Second'!$D$46:$EE$46)</f>
        <v>546111.222</v>
      </c>
      <c r="AJ43" s="54">
        <f>SUMIF('507 s. Second'!$D$2:$EE$2,'Proforma Summary'!AJ$4,'507 s. Second'!$D$46:$EE$46)</f>
        <v>546111.222</v>
      </c>
      <c r="AK43" s="54">
        <f>SUMIF('507 s. Second'!$D$2:$EE$2,'Proforma Summary'!AK$4,'507 s. Second'!$D$46:$EE$46)</f>
        <v>546111.222</v>
      </c>
      <c r="AL43" s="54">
        <f>SUMIF('507 s. Second'!$D$2:$EE$2,'Proforma Summary'!AL$4,'507 s. Second'!$D$46:$EE$46)</f>
        <v>546111.222</v>
      </c>
      <c r="AM43" s="205">
        <f>SUMIF('507 s. Second'!$D$2:$EE$2,'Proforma Summary'!AM$4,'507 s. Second'!$D$46:$EE$46)</f>
        <v>546111.222</v>
      </c>
      <c r="AN43" s="41"/>
      <c r="AO43" s="200" t="s">
        <v>150</v>
      </c>
      <c r="AP43" s="1"/>
      <c r="AQ43" s="54">
        <f>SUMIF('901 w. Western'!$D$2:$EE$2,'Proforma Summary'!AQ$4,'901 w. Western'!$D46:$EE46)</f>
        <v>0</v>
      </c>
      <c r="AR43" s="54">
        <f>SUMIF('901 w. Western'!$D$2:$EE$2,'Proforma Summary'!AR$4,'901 w. Western'!$D46:$EE46)</f>
        <v>0</v>
      </c>
      <c r="AS43" s="54">
        <f>SUMIF('901 w. Western'!$D$2:$EE$2,'Proforma Summary'!AS$4,'901 w. Western'!$D46:$EE46)</f>
        <v>0</v>
      </c>
      <c r="AT43" s="54">
        <f>SUMIF('901 w. Western'!$D$2:$EE$2,'Proforma Summary'!AT$4,'901 w. Western'!$D46:$EE46)</f>
        <v>907047.063</v>
      </c>
      <c r="AU43" s="54">
        <f>SUMIF('901 w. Western'!$D$2:$EE$2,'Proforma Summary'!AU$4,'901 w. Western'!$D46:$EE46)</f>
        <v>907047.063</v>
      </c>
      <c r="AV43" s="54">
        <f>SUMIF('901 w. Western'!$D$2:$EE$2,'Proforma Summary'!AV$4,'901 w. Western'!$D46:$EE46)</f>
        <v>907047.063</v>
      </c>
      <c r="AW43" s="54">
        <f>SUMIF('901 w. Western'!$D$2:$EE$2,'Proforma Summary'!AW$4,'901 w. Western'!$D46:$EE46)</f>
        <v>907047.063</v>
      </c>
      <c r="AX43" s="54">
        <f>SUMIF('901 w. Western'!$D$2:$EE$2,'Proforma Summary'!AX$4,'901 w. Western'!$D46:$EE46)</f>
        <v>907047.063</v>
      </c>
      <c r="AY43" s="54">
        <f>SUMIF('901 w. Western'!$D$2:$EE$2,'Proforma Summary'!AY$4,'901 w. Western'!$D46:$EE46)</f>
        <v>907047.063</v>
      </c>
      <c r="AZ43" s="205">
        <f>SUMIF('901 w. Western'!$D$2:$EE$2,'Proforma Summary'!AZ$4,'901 w. Western'!$D46:$EE46)</f>
        <v>907047.063</v>
      </c>
    </row>
    <row r="44" ht="15.75" customHeight="1">
      <c r="A44" s="41"/>
      <c r="B44" s="200"/>
      <c r="C44" s="1"/>
      <c r="D44" s="1"/>
      <c r="E44" s="1"/>
      <c r="F44" s="1"/>
      <c r="G44" s="54"/>
      <c r="H44" s="132"/>
      <c r="I44" s="132"/>
      <c r="J44" s="132"/>
      <c r="K44" s="132"/>
      <c r="L44" s="132"/>
      <c r="M44" s="215"/>
      <c r="N44" s="41"/>
      <c r="O44" s="200"/>
      <c r="P44" s="1"/>
      <c r="Q44" s="1"/>
      <c r="R44" s="1"/>
      <c r="S44" s="1"/>
      <c r="T44" s="54"/>
      <c r="U44" s="132"/>
      <c r="V44" s="132"/>
      <c r="W44" s="132"/>
      <c r="X44" s="132"/>
      <c r="Y44" s="132"/>
      <c r="Z44" s="215"/>
      <c r="AA44" s="41"/>
      <c r="AB44" s="200"/>
      <c r="AC44" s="1"/>
      <c r="AD44" s="1"/>
      <c r="AE44" s="1"/>
      <c r="AF44" s="1"/>
      <c r="AG44" s="54"/>
      <c r="AH44" s="132"/>
      <c r="AI44" s="132"/>
      <c r="AJ44" s="132"/>
      <c r="AK44" s="132"/>
      <c r="AL44" s="132"/>
      <c r="AM44" s="215"/>
      <c r="AN44" s="41"/>
      <c r="AO44" s="200"/>
      <c r="AP44" s="1"/>
      <c r="AQ44" s="1"/>
      <c r="AR44" s="1"/>
      <c r="AS44" s="1"/>
      <c r="AT44" s="54"/>
      <c r="AU44" s="132"/>
      <c r="AV44" s="132"/>
      <c r="AW44" s="132"/>
      <c r="AX44" s="132"/>
      <c r="AY44" s="132"/>
      <c r="AZ44" s="215"/>
    </row>
    <row r="45" ht="15.75" customHeight="1">
      <c r="A45" s="41"/>
      <c r="B45" s="200" t="s">
        <v>151</v>
      </c>
      <c r="C45" s="1"/>
      <c r="D45" s="54">
        <f>SUMIF('305 e. Daniel'!$D$2:$EE$2,'Proforma Summary'!D$4,'305 e. Daniel'!$D$53:$EE$53)</f>
        <v>0</v>
      </c>
      <c r="E45" s="54">
        <f>SUMIF('305 e. Daniel'!$D$2:$EE$2,'Proforma Summary'!E$4,'305 e. Daniel'!$D$53:$EE$53)</f>
        <v>0</v>
      </c>
      <c r="F45" s="54">
        <f>SUMIF('305 e. Daniel'!$D$2:$EE$2,'Proforma Summary'!F$4,'305 e. Daniel'!$D$53:$EE$53)</f>
        <v>0</v>
      </c>
      <c r="G45" s="54">
        <f>SUMIF('305 e. Daniel'!$D$2:$EE$2,'Proforma Summary'!G$4,'305 e. Daniel'!$D$53:$EE$53)</f>
        <v>0</v>
      </c>
      <c r="H45" s="54">
        <f>SUMIF('305 e. Daniel'!$D$2:$EE$2,'Proforma Summary'!H$4,'305 e. Daniel'!$D$53:$EE$53)</f>
        <v>0</v>
      </c>
      <c r="I45" s="54">
        <f>SUMIF('305 e. Daniel'!$D$2:$EE$2,'Proforma Summary'!I$4,'305 e. Daniel'!$D$53:$EE$53)</f>
        <v>0</v>
      </c>
      <c r="J45" s="54">
        <f>SUMIF('305 e. Daniel'!$D$2:$EE$2,'Proforma Summary'!J$4,'305 e. Daniel'!$D$53:$EE$53)</f>
        <v>0</v>
      </c>
      <c r="K45" s="54">
        <f>SUMIF('305 e. Daniel'!$D$2:$EE$2,'Proforma Summary'!K$4,'305 e. Daniel'!$D$53:$EE$53)</f>
        <v>0</v>
      </c>
      <c r="L45" s="54">
        <f>SUMIF('305 e. Daniel'!$D$2:$EE$2,'Proforma Summary'!L$4,'305 e. Daniel'!$D$53:$EE$53)</f>
        <v>0</v>
      </c>
      <c r="M45" s="205">
        <f>SUMIF('305 e. Daniel'!$D$2:$EE$2,'Proforma Summary'!M$4,'305 e. Daniel'!$D$53:$EE$53)</f>
        <v>4796276.921</v>
      </c>
      <c r="N45" s="41"/>
      <c r="O45" s="200" t="s">
        <v>151</v>
      </c>
      <c r="P45" s="1"/>
      <c r="Q45" s="54">
        <f>SUMIF('75 e. Armory'!$D$2:$EE$2,'Proforma Summary'!Q$4,'75 e. Armory'!$D$53:$EE$53)</f>
        <v>0</v>
      </c>
      <c r="R45" s="54">
        <f>SUMIF('75 e. Armory'!$D$2:$EE$2,'Proforma Summary'!R$4,'75 e. Armory'!$D$53:$EE$53)</f>
        <v>0</v>
      </c>
      <c r="S45" s="54">
        <f>SUMIF('75 e. Armory'!$D$2:$EE$2,'Proforma Summary'!S$4,'75 e. Armory'!$D$53:$EE$53)</f>
        <v>0</v>
      </c>
      <c r="T45" s="54">
        <f>SUMIF('75 e. Armory'!$D$2:$EE$2,'Proforma Summary'!T$4,'75 e. Armory'!$D$53:$EE$53)</f>
        <v>0</v>
      </c>
      <c r="U45" s="54">
        <f>SUMIF('75 e. Armory'!$D$2:$EE$2,'Proforma Summary'!U$4,'75 e. Armory'!$D$53:$EE$53)</f>
        <v>0</v>
      </c>
      <c r="V45" s="54">
        <f>SUMIF('75 e. Armory'!$D$2:$EE$2,'Proforma Summary'!V$4,'75 e. Armory'!$D$53:$EE$53)</f>
        <v>0</v>
      </c>
      <c r="W45" s="54">
        <f>SUMIF('75 e. Armory'!$D$2:$EE$2,'Proforma Summary'!W$4,'75 e. Armory'!$D$53:$EE$53)</f>
        <v>0</v>
      </c>
      <c r="X45" s="54">
        <f>SUMIF('75 e. Armory'!$D$2:$EE$2,'Proforma Summary'!X$4,'75 e. Armory'!$D$53:$EE$53)</f>
        <v>0</v>
      </c>
      <c r="Y45" s="54">
        <f>SUMIF('75 e. Armory'!$D$2:$EE$2,'Proforma Summary'!Y$4,'75 e. Armory'!$D$53:$EE$53)</f>
        <v>0</v>
      </c>
      <c r="Z45" s="205">
        <f>SUMIF('75 e. Armory'!$D$2:$EE$2,'Proforma Summary'!Z$4,'75 e. Armory'!$D$53:$EE$53)</f>
        <v>17419454.09</v>
      </c>
      <c r="AA45" s="41"/>
      <c r="AB45" s="200" t="s">
        <v>151</v>
      </c>
      <c r="AC45" s="1"/>
      <c r="AD45" s="54">
        <f>SUMIF('507 s. Second'!$D$2:$EE$2,'Proforma Summary'!AD$4,'507 s. Second'!$D$53:$EE$53)</f>
        <v>0</v>
      </c>
      <c r="AE45" s="54">
        <f>SUMIF('507 s. Second'!$D$2:$EE$2,'Proforma Summary'!AE$4,'507 s. Second'!$D$53:$EE$53)</f>
        <v>0</v>
      </c>
      <c r="AF45" s="54">
        <f>SUMIF('507 s. Second'!$D$2:$EE$2,'Proforma Summary'!AF$4,'507 s. Second'!$D$53:$EE$53)</f>
        <v>0</v>
      </c>
      <c r="AG45" s="54">
        <f>SUMIF('507 s. Second'!$D$2:$EE$2,'Proforma Summary'!AG$4,'507 s. Second'!$D$53:$EE$53)</f>
        <v>0</v>
      </c>
      <c r="AH45" s="54">
        <f>SUMIF('507 s. Second'!$D$2:$EE$2,'Proforma Summary'!AH$4,'507 s. Second'!$D$53:$EE$53)</f>
        <v>0</v>
      </c>
      <c r="AI45" s="54">
        <f>SUMIF('507 s. Second'!$D$2:$EE$2,'Proforma Summary'!AI$4,'507 s. Second'!$D$53:$EE$53)</f>
        <v>0</v>
      </c>
      <c r="AJ45" s="54">
        <f>SUMIF('507 s. Second'!$D$2:$EE$2,'Proforma Summary'!AJ$4,'507 s. Second'!$D$53:$EE$53)</f>
        <v>0</v>
      </c>
      <c r="AK45" s="54">
        <f>SUMIF('507 s. Second'!$D$2:$EE$2,'Proforma Summary'!AK$4,'507 s. Second'!$D$53:$EE$53)</f>
        <v>0</v>
      </c>
      <c r="AL45" s="54">
        <f>SUMIF('507 s. Second'!$D$2:$EE$2,'Proforma Summary'!AL$4,'507 s. Second'!$D$53:$EE$53)</f>
        <v>0</v>
      </c>
      <c r="AM45" s="205">
        <f>SUMIF('507 s. Second'!$D$2:$EE$2,'Proforma Summary'!AM$4,'507 s. Second'!$D$53:$EE$53)</f>
        <v>10854363.73</v>
      </c>
      <c r="AN45" s="41"/>
      <c r="AO45" s="200" t="s">
        <v>151</v>
      </c>
      <c r="AP45" s="1"/>
      <c r="AQ45" s="54">
        <f>SUMIF('901 w. Western'!$D$2:$EE$2,'Proforma Summary'!AQ$4,'901 w. Western'!$D53:$EE53)</f>
        <v>0</v>
      </c>
      <c r="AR45" s="54">
        <f>SUMIF('901 w. Western'!$D$2:$EE$2,'Proforma Summary'!AR$4,'901 w. Western'!$D53:$EE53)</f>
        <v>0</v>
      </c>
      <c r="AS45" s="54">
        <f>SUMIF('901 w. Western'!$D$2:$EE$2,'Proforma Summary'!AS$4,'901 w. Western'!$D53:$EE53)</f>
        <v>0</v>
      </c>
      <c r="AT45" s="54">
        <f>SUMIF('901 w. Western'!$D$2:$EE$2,'Proforma Summary'!AT$4,'901 w. Western'!$D53:$EE53)</f>
        <v>0</v>
      </c>
      <c r="AU45" s="54">
        <f>SUMIF('901 w. Western'!$D$2:$EE$2,'Proforma Summary'!AU$4,'901 w. Western'!$D53:$EE53)</f>
        <v>0</v>
      </c>
      <c r="AV45" s="54">
        <f>SUMIF('901 w. Western'!$D$2:$EE$2,'Proforma Summary'!AV$4,'901 w. Western'!$D53:$EE53)</f>
        <v>0</v>
      </c>
      <c r="AW45" s="54">
        <f>SUMIF('901 w. Western'!$D$2:$EE$2,'Proforma Summary'!AW$4,'901 w. Western'!$D53:$EE53)</f>
        <v>0</v>
      </c>
      <c r="AX45" s="54">
        <f>SUMIF('901 w. Western'!$D$2:$EE$2,'Proforma Summary'!AX$4,'901 w. Western'!$D53:$EE53)</f>
        <v>0</v>
      </c>
      <c r="AY45" s="54">
        <f>SUMIF('901 w. Western'!$D$2:$EE$2,'Proforma Summary'!AY$4,'901 w. Western'!$D53:$EE53)</f>
        <v>0</v>
      </c>
      <c r="AZ45" s="205">
        <f>SUMIF('901 w. Western'!$D$2:$EE$2,'Proforma Summary'!AZ$4,'901 w. Western'!$D53:$EE53)</f>
        <v>18070270.61</v>
      </c>
    </row>
    <row r="46" ht="15.75" customHeight="1">
      <c r="A46" s="41"/>
      <c r="B46" s="200"/>
      <c r="C46" s="1"/>
      <c r="D46" s="1"/>
      <c r="E46" s="1"/>
      <c r="F46" s="1"/>
      <c r="G46" s="1"/>
      <c r="H46" s="32"/>
      <c r="I46" s="32"/>
      <c r="J46" s="32"/>
      <c r="K46" s="32"/>
      <c r="L46" s="32"/>
      <c r="M46" s="219"/>
      <c r="N46" s="41"/>
      <c r="O46" s="200"/>
      <c r="P46" s="1"/>
      <c r="Q46" s="1"/>
      <c r="R46" s="1"/>
      <c r="S46" s="1"/>
      <c r="T46" s="1"/>
      <c r="U46" s="32"/>
      <c r="V46" s="32"/>
      <c r="W46" s="32"/>
      <c r="X46" s="32"/>
      <c r="Y46" s="32"/>
      <c r="Z46" s="219"/>
      <c r="AA46" s="41"/>
      <c r="AB46" s="200"/>
      <c r="AC46" s="1"/>
      <c r="AD46" s="1"/>
      <c r="AE46" s="1"/>
      <c r="AF46" s="1"/>
      <c r="AG46" s="1"/>
      <c r="AH46" s="32"/>
      <c r="AI46" s="32"/>
      <c r="AJ46" s="32"/>
      <c r="AK46" s="32"/>
      <c r="AL46" s="32"/>
      <c r="AM46" s="219"/>
      <c r="AN46" s="41"/>
      <c r="AO46" s="200"/>
      <c r="AP46" s="1"/>
      <c r="AQ46" s="1"/>
      <c r="AR46" s="1"/>
      <c r="AS46" s="1"/>
      <c r="AT46" s="1"/>
      <c r="AU46" s="32"/>
      <c r="AV46" s="32"/>
      <c r="AW46" s="32"/>
      <c r="AX46" s="32"/>
      <c r="AY46" s="32"/>
      <c r="AZ46" s="219"/>
    </row>
    <row r="47" ht="15.75" customHeight="1">
      <c r="A47" s="41"/>
      <c r="B47" s="200" t="s">
        <v>152</v>
      </c>
      <c r="C47" s="1"/>
      <c r="D47" s="54">
        <f>SUMIF('305 e. Daniel'!$D$2:$EE$2,'Proforma Summary'!D$4,'305 e. Daniel'!$D$55:$EE$55)</f>
        <v>350022.4412</v>
      </c>
      <c r="E47" s="54">
        <f>SUMIF('305 e. Daniel'!$D$2:$EE$2,'Proforma Summary'!E$4,'305 e. Daniel'!$D$55:$EE$55)</f>
        <v>404327.3965</v>
      </c>
      <c r="F47" s="54">
        <f>SUMIF('305 e. Daniel'!$D$2:$EE$2,'Proforma Summary'!F$4,'305 e. Daniel'!$D$55:$EE$55)</f>
        <v>416457.2184</v>
      </c>
      <c r="G47" s="54">
        <f>SUMIF('305 e. Daniel'!$D$2:$EE$2,'Proforma Summary'!G$4,'305 e. Daniel'!$D$55:$EE$55)</f>
        <v>162731.8885</v>
      </c>
      <c r="H47" s="54">
        <f>SUMIF('305 e. Daniel'!$D$2:$EE$2,'Proforma Summary'!H$4,'305 e. Daniel'!$D$55:$EE$55)</f>
        <v>175600.4166</v>
      </c>
      <c r="I47" s="54">
        <f>SUMIF('305 e. Daniel'!$D$2:$EE$2,'Proforma Summary'!I$4,'305 e. Daniel'!$D$55:$EE$55)</f>
        <v>188855.0005</v>
      </c>
      <c r="J47" s="54">
        <f>SUMIF('305 e. Daniel'!$D$2:$EE$2,'Proforma Summary'!J$4,'305 e. Daniel'!$D$55:$EE$55)</f>
        <v>202507.2219</v>
      </c>
      <c r="K47" s="54">
        <f>SUMIF('305 e. Daniel'!$D$2:$EE$2,'Proforma Summary'!K$4,'305 e. Daniel'!$D$55:$EE$55)</f>
        <v>216569.0099</v>
      </c>
      <c r="L47" s="54">
        <f>SUMIF('305 e. Daniel'!$D$2:$EE$2,'Proforma Summary'!L$4,'305 e. Daniel'!$D$55:$EE$55)</f>
        <v>231052.6516</v>
      </c>
      <c r="M47" s="205">
        <f>SUMIF('305 e. Daniel'!$D$2:$EE$2,'Proforma Summary'!M$4,'305 e. Daniel'!$D$55:$EE$55)</f>
        <v>245970.8025</v>
      </c>
      <c r="N47" s="41"/>
      <c r="O47" s="200" t="s">
        <v>152</v>
      </c>
      <c r="P47" s="1"/>
      <c r="Q47" s="54">
        <f>SUMIF('75 e. Armory'!$D$2:$EE$2,'Proforma Summary'!Q4,'75 e. Armory'!$D$55:$EE$55)</f>
        <v>1257229.659</v>
      </c>
      <c r="R47" s="54">
        <f>SUMIF('75 e. Armory'!$D$2:$EE$2,'Proforma Summary'!R4,'75 e. Armory'!$D$55:$EE$55)</f>
        <v>1458840.66</v>
      </c>
      <c r="S47" s="54">
        <f>SUMIF('75 e. Armory'!$D$2:$EE$2,'Proforma Summary'!S4,'75 e. Armory'!$D$55:$EE$55)</f>
        <v>1502605.879</v>
      </c>
      <c r="T47" s="54">
        <f>SUMIF('75 e. Armory'!$D$2:$EE$2,'Proforma Summary'!T4,'75 e. Armory'!$D$55:$EE$55)</f>
        <v>591463.9919</v>
      </c>
      <c r="U47" s="54">
        <f>SUMIF('75 e. Armory'!$D$2:$EE$2,'Proforma Summary'!U4,'75 e. Armory'!$D$55:$EE$55)</f>
        <v>637894.5136</v>
      </c>
      <c r="V47" s="54">
        <f>SUMIF('75 e. Armory'!$D$2:$EE$2,'Proforma Summary'!V4,'75 e. Armory'!$D$55:$EE$55)</f>
        <v>685717.9509</v>
      </c>
      <c r="W47" s="54">
        <f>SUMIF('75 e. Armory'!$D$2:$EE$2,'Proforma Summary'!W4,'75 e. Armory'!$D$55:$EE$55)</f>
        <v>734976.0914</v>
      </c>
      <c r="X47" s="54">
        <f>SUMIF('75 e. Armory'!$D$2:$EE$2,'Proforma Summary'!X4,'75 e. Armory'!$D$55:$EE$55)</f>
        <v>785711.976</v>
      </c>
      <c r="Y47" s="54">
        <f>SUMIF('75 e. Armory'!$D$2:$EE$2,'Proforma Summary'!Y4,'75 e. Armory'!$D$55:$EE$55)</f>
        <v>837969.9372</v>
      </c>
      <c r="Z47" s="205">
        <f>SUMIF('75 e. Armory'!$D$2:$EE$2,'Proforma Summary'!Z4,'75 e. Armory'!$D$55:$EE$55)</f>
        <v>891795.6373</v>
      </c>
      <c r="AA47" s="41"/>
      <c r="AB47" s="200" t="s">
        <v>152</v>
      </c>
      <c r="AC47" s="1"/>
      <c r="AD47" s="54">
        <f>SUMIF('507 s. Second'!$D$2:$EE$2,'Proforma Summary'!AD$4,'507 s. Second'!$D55:$EE55)</f>
        <v>718022.1911</v>
      </c>
      <c r="AE47" s="54">
        <f>SUMIF('507 s. Second'!$D$2:$EE$2,'Proforma Summary'!AE$4,'507 s. Second'!$D55:$EE55)</f>
        <v>837930.479</v>
      </c>
      <c r="AF47" s="54">
        <f>SUMIF('507 s. Second'!$D$2:$EE$2,'Proforma Summary'!AF$4,'507 s. Second'!$D55:$EE55)</f>
        <v>863068.3934</v>
      </c>
      <c r="AG47" s="54">
        <f>SUMIF('507 s. Second'!$D$2:$EE$2,'Proforma Summary'!AG$4,'507 s. Second'!$D55:$EE55)</f>
        <v>342849.2232</v>
      </c>
      <c r="AH47" s="54">
        <f>SUMIF('507 s. Second'!$D$2:$EE$2,'Proforma Summary'!AH$4,'507 s. Second'!$D55:$EE55)</f>
        <v>369518.0366</v>
      </c>
      <c r="AI47" s="54">
        <f>SUMIF('507 s. Second'!$D$2:$EE$2,'Proforma Summary'!AI$4,'507 s. Second'!$D55:$EE55)</f>
        <v>396986.9143</v>
      </c>
      <c r="AJ47" s="54">
        <f>SUMIF('507 s. Second'!$D$2:$EE$2,'Proforma Summary'!AJ$4,'507 s. Second'!$D55:$EE55)</f>
        <v>425279.8584</v>
      </c>
      <c r="AK47" s="54">
        <f>SUMIF('507 s. Second'!$D$2:$EE$2,'Proforma Summary'!AK$4,'507 s. Second'!$D55:$EE55)</f>
        <v>454421.5908</v>
      </c>
      <c r="AL47" s="54">
        <f>SUMIF('507 s. Second'!$D$2:$EE$2,'Proforma Summary'!AL$4,'507 s. Second'!$D55:$EE55)</f>
        <v>484437.5752</v>
      </c>
      <c r="AM47" s="205">
        <f>SUMIF('507 s. Second'!$D$2:$EE$2,'Proforma Summary'!AM$4,'507 s. Second'!$D55:$EE55)</f>
        <v>465293.5267</v>
      </c>
      <c r="AN47" s="41"/>
      <c r="AO47" s="200" t="s">
        <v>152</v>
      </c>
      <c r="AP47" s="1"/>
      <c r="AQ47" s="54">
        <f>SUMIF('901 w. Western'!$D$2:$EE$2,'Proforma Summary'!AQ$4,'901 w. Western'!$D55:$EE55)</f>
        <v>1192577.434</v>
      </c>
      <c r="AR47" s="54">
        <f>SUMIF('901 w. Western'!$D$2:$EE$2,'Proforma Summary'!AR$4,'901 w. Western'!$D55:$EE55)</f>
        <v>1393708.199</v>
      </c>
      <c r="AS47" s="54">
        <f>SUMIF('901 w. Western'!$D$2:$EE$2,'Proforma Summary'!AS$4,'901 w. Western'!$D55:$EE55)</f>
        <v>1435519.445</v>
      </c>
      <c r="AT47" s="54">
        <f>SUMIF('901 w. Western'!$D$2:$EE$2,'Proforma Summary'!AT$4,'901 w. Western'!$D55:$EE55)</f>
        <v>571537.9654</v>
      </c>
      <c r="AU47" s="54">
        <f>SUMIF('901 w. Western'!$D$2:$EE$2,'Proforma Summary'!AU$4,'901 w. Western'!$D55:$EE55)</f>
        <v>615895.5163</v>
      </c>
      <c r="AV47" s="54">
        <f>SUMIF('901 w. Western'!$D$2:$EE$2,'Proforma Summary'!AV$4,'901 w. Western'!$D55:$EE55)</f>
        <v>661583.7937</v>
      </c>
      <c r="AW47" s="54">
        <f>SUMIF('901 w. Western'!$D$2:$EE$2,'Proforma Summary'!AW$4,'901 w. Western'!$D55:$EE55)</f>
        <v>708642.7194</v>
      </c>
      <c r="AX47" s="54">
        <f>SUMIF('901 w. Western'!$D$2:$EE$2,'Proforma Summary'!AX$4,'901 w. Western'!$D55:$EE55)</f>
        <v>757113.4128</v>
      </c>
      <c r="AY47" s="54">
        <f>SUMIF('901 w. Western'!$D$2:$EE$2,'Proforma Summary'!AY$4,'901 w. Western'!$D55:$EE55)</f>
        <v>807038.2271</v>
      </c>
      <c r="AZ47" s="205">
        <f>SUMIF('901 w. Western'!$D$2:$EE$2,'Proforma Summary'!AZ$4,'901 w. Western'!$D55:$EE55)</f>
        <v>773589.2689</v>
      </c>
    </row>
    <row r="48" ht="15.75" customHeight="1">
      <c r="A48" s="41"/>
      <c r="B48" s="200" t="s">
        <v>153</v>
      </c>
      <c r="C48" s="1"/>
      <c r="D48" s="54">
        <f>SUMIF('305 e. Daniel'!$D$2:$EE$2,'Proforma Summary'!D$4,'305 e. Daniel'!$D$56:$EE$56)+D40</f>
        <v>0</v>
      </c>
      <c r="E48" s="54">
        <f>SUMIF('305 e. Daniel'!$D$2:$EE$2,'Proforma Summary'!E$4,'305 e. Daniel'!$D$56:$EE$56)+E40</f>
        <v>0</v>
      </c>
      <c r="F48" s="54">
        <f>SUMIF('305 e. Daniel'!$D$2:$EE$2,'Proforma Summary'!F$4,'305 e. Daniel'!$D$56:$EE$56)+F40</f>
        <v>0</v>
      </c>
      <c r="G48" s="54">
        <f>SUMIF('305 e. Daniel'!$D$2:$EE$2,'Proforma Summary'!G$4,'305 e. Daniel'!$D$56:$EE$56)+G40</f>
        <v>0</v>
      </c>
      <c r="H48" s="54">
        <f>SUMIF('305 e. Daniel'!$D$2:$EE$2,'Proforma Summary'!H$4,'305 e. Daniel'!$D$56:$EE$56)+H40</f>
        <v>0</v>
      </c>
      <c r="I48" s="54">
        <f>SUMIF('305 e. Daniel'!$D$2:$EE$2,'Proforma Summary'!I$4,'305 e. Daniel'!$D$56:$EE$56)+I40</f>
        <v>0</v>
      </c>
      <c r="J48" s="54">
        <f>SUMIF('305 e. Daniel'!$D$2:$EE$2,'Proforma Summary'!J$4,'305 e. Daniel'!$D$56:$EE$56)+J40</f>
        <v>0</v>
      </c>
      <c r="K48" s="54">
        <f>SUMIF('305 e. Daniel'!$D$2:$EE$2,'Proforma Summary'!K$4,'305 e. Daniel'!$D$56:$EE$56)+K40</f>
        <v>0</v>
      </c>
      <c r="L48" s="54">
        <f>SUMIF('305 e. Daniel'!$D$2:$EE$2,'Proforma Summary'!L$4,'305 e. Daniel'!$D$56:$EE$56)+L40</f>
        <v>0</v>
      </c>
      <c r="M48" s="205">
        <f>SUMIF('305 e. Daniel'!$D$2:$EE$2,'Proforma Summary'!M$4,'305 e. Daniel'!$D$56:$EE$56)+M40</f>
        <v>4796276.921</v>
      </c>
      <c r="N48" s="41"/>
      <c r="O48" s="200" t="s">
        <v>153</v>
      </c>
      <c r="P48" s="1"/>
      <c r="Q48" s="54">
        <f>SUMIF('75 e. Armory'!$D$2:$EE$2,'Proforma Summary'!Q4,'75 e. Armory'!$D$56:$EE$56)+Q40</f>
        <v>0</v>
      </c>
      <c r="R48" s="54">
        <f>SUMIF('75 e. Armory'!$D$2:$EE$2,'Proforma Summary'!R4,'75 e. Armory'!$D$56:$EE$56)+R40</f>
        <v>0</v>
      </c>
      <c r="S48" s="54">
        <f>SUMIF('75 e. Armory'!$D$2:$EE$2,'Proforma Summary'!S4,'75 e. Armory'!$D$56:$EE$56)+S40</f>
        <v>0</v>
      </c>
      <c r="T48" s="54">
        <f>SUMIF('75 e. Armory'!$D$2:$EE$2,'Proforma Summary'!T4,'75 e. Armory'!$D$56:$EE$56)+T40</f>
        <v>0</v>
      </c>
      <c r="U48" s="54">
        <f>SUMIF('75 e. Armory'!$D$2:$EE$2,'Proforma Summary'!U4,'75 e. Armory'!$D$56:$EE$56)+U40</f>
        <v>0</v>
      </c>
      <c r="V48" s="54">
        <f>SUMIF('75 e. Armory'!$D$2:$EE$2,'Proforma Summary'!V4,'75 e. Armory'!$D$56:$EE$56)+V40</f>
        <v>0</v>
      </c>
      <c r="W48" s="54">
        <f>SUMIF('75 e. Armory'!$D$2:$EE$2,'Proforma Summary'!W4,'75 e. Armory'!$D$56:$EE$56)+W40</f>
        <v>0</v>
      </c>
      <c r="X48" s="54">
        <f>SUMIF('75 e. Armory'!$D$2:$EE$2,'Proforma Summary'!X4,'75 e. Armory'!$D$56:$EE$56)+X40</f>
        <v>0</v>
      </c>
      <c r="Y48" s="54">
        <f>SUMIF('75 e. Armory'!$D$2:$EE$2,'Proforma Summary'!Y4,'75 e. Armory'!$D$56:$EE$56)+Y40</f>
        <v>0</v>
      </c>
      <c r="Z48" s="205">
        <f>SUMIF('75 e. Armory'!$D$2:$EE$2,'Proforma Summary'!Z4,'75 e. Armory'!$D$56:$EE$56)+Z40</f>
        <v>17419454.09</v>
      </c>
      <c r="AA48" s="41"/>
      <c r="AB48" s="200" t="s">
        <v>153</v>
      </c>
      <c r="AC48" s="1"/>
      <c r="AD48" s="54">
        <f>SUMIF('507 s. Second'!$D$2:$EE$2,'Proforma Summary'!AD$4,'507 s. Second'!$D56:$EE56)+AD40</f>
        <v>0</v>
      </c>
      <c r="AE48" s="54">
        <f>SUMIF('507 s. Second'!$D$2:$EE$2,'Proforma Summary'!AE$4,'507 s. Second'!$D56:$EE56)+AE40</f>
        <v>0</v>
      </c>
      <c r="AF48" s="54">
        <f>SUMIF('507 s. Second'!$D$2:$EE$2,'Proforma Summary'!AF$4,'507 s. Second'!$D56:$EE56)+AF40</f>
        <v>0</v>
      </c>
      <c r="AG48" s="54">
        <f>SUMIF('507 s. Second'!$D$2:$EE$2,'Proforma Summary'!AG$4,'507 s. Second'!$D56:$EE56)+AG40</f>
        <v>0</v>
      </c>
      <c r="AH48" s="54">
        <f>SUMIF('507 s. Second'!$D$2:$EE$2,'Proforma Summary'!AH$4,'507 s. Second'!$D56:$EE56)+AH40</f>
        <v>0</v>
      </c>
      <c r="AI48" s="54">
        <f>SUMIF('507 s. Second'!$D$2:$EE$2,'Proforma Summary'!AI$4,'507 s. Second'!$D56:$EE56)+AI40</f>
        <v>0</v>
      </c>
      <c r="AJ48" s="54">
        <f>SUMIF('507 s. Second'!$D$2:$EE$2,'Proforma Summary'!AJ$4,'507 s. Second'!$D56:$EE56)+AJ40</f>
        <v>0</v>
      </c>
      <c r="AK48" s="54">
        <f>SUMIF('507 s. Second'!$D$2:$EE$2,'Proforma Summary'!AK$4,'507 s. Second'!$D56:$EE56)+AK40</f>
        <v>0</v>
      </c>
      <c r="AL48" s="54">
        <f>SUMIF('507 s. Second'!$D$2:$EE$2,'Proforma Summary'!AL$4,'507 s. Second'!$D56:$EE56)+AL40</f>
        <v>0</v>
      </c>
      <c r="AM48" s="205">
        <f>SUMIF('507 s. Second'!$D$2:$EE$2,'Proforma Summary'!AM$4,'507 s. Second'!$D56:$EE56)+AM40</f>
        <v>10854363.73</v>
      </c>
      <c r="AN48" s="41"/>
      <c r="AO48" s="200" t="s">
        <v>153</v>
      </c>
      <c r="AP48" s="1"/>
      <c r="AQ48" s="54">
        <f>SUMIF('901 w. Western'!$D$2:$EE$2,'Proforma Summary'!AQ$4,'901 w. Western'!$D56:$EE56)+AQ40</f>
        <v>0</v>
      </c>
      <c r="AR48" s="54">
        <f>SUMIF('901 w. Western'!$D$2:$EE$2,'Proforma Summary'!AR$4,'901 w. Western'!$D56:$EE56)+AR40</f>
        <v>0</v>
      </c>
      <c r="AS48" s="54">
        <f>SUMIF('901 w. Western'!$D$2:$EE$2,'Proforma Summary'!AS$4,'901 w. Western'!$D56:$EE56)+AS40</f>
        <v>0</v>
      </c>
      <c r="AT48" s="54">
        <f>SUMIF('901 w. Western'!$D$2:$EE$2,'Proforma Summary'!AT$4,'901 w. Western'!$D56:$EE56)+AT40</f>
        <v>0</v>
      </c>
      <c r="AU48" s="54">
        <f>SUMIF('901 w. Western'!$D$2:$EE$2,'Proforma Summary'!AU$4,'901 w. Western'!$D56:$EE56)+AU40</f>
        <v>0</v>
      </c>
      <c r="AV48" s="54">
        <f>SUMIF('901 w. Western'!$D$2:$EE$2,'Proforma Summary'!AV$4,'901 w. Western'!$D56:$EE56)+AV40</f>
        <v>0</v>
      </c>
      <c r="AW48" s="54">
        <f>SUMIF('901 w. Western'!$D$2:$EE$2,'Proforma Summary'!AW$4,'901 w. Western'!$D56:$EE56)+AW40</f>
        <v>0</v>
      </c>
      <c r="AX48" s="54">
        <f>SUMIF('901 w. Western'!$D$2:$EE$2,'Proforma Summary'!AX$4,'901 w. Western'!$D56:$EE56)+AX40</f>
        <v>0</v>
      </c>
      <c r="AY48" s="54">
        <f>SUMIF('901 w. Western'!$D$2:$EE$2,'Proforma Summary'!AY$4,'901 w. Western'!$D56:$EE56)+AY40</f>
        <v>0</v>
      </c>
      <c r="AZ48" s="205">
        <f>SUMIF('901 w. Western'!$D$2:$EE$2,'Proforma Summary'!AZ$4,'901 w. Western'!$D56:$EE56)+AZ40</f>
        <v>18070270.61</v>
      </c>
    </row>
    <row r="49" ht="15.75" customHeight="1">
      <c r="A49" s="41"/>
      <c r="B49" s="202" t="s">
        <v>154</v>
      </c>
      <c r="C49" s="213">
        <f>-Assumptions!D43</f>
        <v>-2008385.664</v>
      </c>
      <c r="D49" s="213">
        <f t="shared" ref="D49:M49" si="13">SUM(D47:D48)</f>
        <v>350022.4412</v>
      </c>
      <c r="E49" s="213">
        <f t="shared" si="13"/>
        <v>404327.3965</v>
      </c>
      <c r="F49" s="213">
        <f t="shared" si="13"/>
        <v>416457.2184</v>
      </c>
      <c r="G49" s="213">
        <f t="shared" si="13"/>
        <v>162731.8885</v>
      </c>
      <c r="H49" s="213">
        <f t="shared" si="13"/>
        <v>175600.4166</v>
      </c>
      <c r="I49" s="213">
        <f t="shared" si="13"/>
        <v>188855.0005</v>
      </c>
      <c r="J49" s="213">
        <f t="shared" si="13"/>
        <v>202507.2219</v>
      </c>
      <c r="K49" s="213">
        <f t="shared" si="13"/>
        <v>216569.0099</v>
      </c>
      <c r="L49" s="213">
        <f t="shared" si="13"/>
        <v>231052.6516</v>
      </c>
      <c r="M49" s="214">
        <f t="shared" si="13"/>
        <v>5042247.724</v>
      </c>
      <c r="N49" s="41"/>
      <c r="O49" s="202" t="s">
        <v>154</v>
      </c>
      <c r="P49" s="213">
        <f>-Assumptions!L43</f>
        <v>-7213828.965</v>
      </c>
      <c r="Q49" s="213">
        <f t="shared" ref="Q49:Z49" si="14">SUM(Q47:Q48)</f>
        <v>1257229.659</v>
      </c>
      <c r="R49" s="213">
        <f t="shared" si="14"/>
        <v>1458840.66</v>
      </c>
      <c r="S49" s="213">
        <f t="shared" si="14"/>
        <v>1502605.879</v>
      </c>
      <c r="T49" s="213">
        <f t="shared" si="14"/>
        <v>591463.9919</v>
      </c>
      <c r="U49" s="213">
        <f t="shared" si="14"/>
        <v>637894.5136</v>
      </c>
      <c r="V49" s="213">
        <f t="shared" si="14"/>
        <v>685717.9509</v>
      </c>
      <c r="W49" s="213">
        <f t="shared" si="14"/>
        <v>734976.0914</v>
      </c>
      <c r="X49" s="213">
        <f t="shared" si="14"/>
        <v>785711.976</v>
      </c>
      <c r="Y49" s="213">
        <f t="shared" si="14"/>
        <v>837969.9372</v>
      </c>
      <c r="Z49" s="214">
        <f t="shared" si="14"/>
        <v>18311249.73</v>
      </c>
      <c r="AA49" s="41"/>
      <c r="AB49" s="202" t="s">
        <v>154</v>
      </c>
      <c r="AC49" s="213">
        <f>-Assumptions!T43</f>
        <v>-4119922.913</v>
      </c>
      <c r="AD49" s="213">
        <f>SUMIF('507 s. Second'!$D$2:$EE$2,'Proforma Summary'!AD$4,'507 s. Second'!$D57:$EE57)</f>
        <v>718022.1911</v>
      </c>
      <c r="AE49" s="213">
        <f>SUMIF('507 s. Second'!$D$2:$EE$2,'Proforma Summary'!AE$4,'507 s. Second'!$D57:$EE57)</f>
        <v>837930.479</v>
      </c>
      <c r="AF49" s="213">
        <f>SUMIF('507 s. Second'!$D$2:$EE$2,'Proforma Summary'!AF$4,'507 s. Second'!$D57:$EE57)</f>
        <v>863068.3934</v>
      </c>
      <c r="AG49" s="213">
        <f>SUMIF('507 s. Second'!$D$2:$EE$2,'Proforma Summary'!AG$4,'507 s. Second'!$D57:$EE57)</f>
        <v>342849.2232</v>
      </c>
      <c r="AH49" s="213">
        <f>SUMIF('507 s. Second'!$D$2:$EE$2,'Proforma Summary'!AH$4,'507 s. Second'!$D57:$EE57)</f>
        <v>369518.0366</v>
      </c>
      <c r="AI49" s="213">
        <f>SUMIF('507 s. Second'!$D$2:$EE$2,'Proforma Summary'!AI$4,'507 s. Second'!$D57:$EE57)</f>
        <v>396986.9143</v>
      </c>
      <c r="AJ49" s="213">
        <f>SUMIF('507 s. Second'!$D$2:$EE$2,'Proforma Summary'!AJ$4,'507 s. Second'!$D57:$EE57)</f>
        <v>425279.8584</v>
      </c>
      <c r="AK49" s="213">
        <f>SUMIF('507 s. Second'!$D$2:$EE$2,'Proforma Summary'!AK$4,'507 s. Second'!$D57:$EE57)</f>
        <v>454421.5908</v>
      </c>
      <c r="AL49" s="213">
        <f>SUMIF('507 s. Second'!$D$2:$EE$2,'Proforma Summary'!AL$4,'507 s. Second'!$D57:$EE57)</f>
        <v>484437.5752</v>
      </c>
      <c r="AM49" s="214">
        <f>SUMIF('507 s. Second'!$D$2:$EE$2,'Proforma Summary'!AM$4,'507 s. Second'!$D57:$EE57)</f>
        <v>11319657.25</v>
      </c>
      <c r="AN49" s="41"/>
      <c r="AO49" s="202" t="s">
        <v>154</v>
      </c>
      <c r="AP49" s="213">
        <f>-Assumptions!AB43</f>
        <v>-6842862.458</v>
      </c>
      <c r="AQ49" s="213">
        <f>SUMIF('901 w. Western'!$D$2:$EE$2,'Proforma Summary'!AQ$4,'901 w. Western'!$D57:$EE57)</f>
        <v>1192577.434</v>
      </c>
      <c r="AR49" s="213">
        <f>SUMIF('901 w. Western'!$D$2:$EE$2,'Proforma Summary'!AR$4,'901 w. Western'!$D57:$EE57)</f>
        <v>1393708.199</v>
      </c>
      <c r="AS49" s="213">
        <f>SUMIF('901 w. Western'!$D$2:$EE$2,'Proforma Summary'!AS$4,'901 w. Western'!$D57:$EE57)</f>
        <v>1435519.445</v>
      </c>
      <c r="AT49" s="213">
        <f>SUMIF('901 w. Western'!$D$2:$EE$2,'Proforma Summary'!AT$4,'901 w. Western'!$D57:$EE57)</f>
        <v>571537.9654</v>
      </c>
      <c r="AU49" s="213">
        <f>SUMIF('901 w. Western'!$D$2:$EE$2,'Proforma Summary'!AU$4,'901 w. Western'!$D57:$EE57)</f>
        <v>615895.5163</v>
      </c>
      <c r="AV49" s="213">
        <f>SUMIF('901 w. Western'!$D$2:$EE$2,'Proforma Summary'!AV$4,'901 w. Western'!$D57:$EE57)</f>
        <v>661583.7937</v>
      </c>
      <c r="AW49" s="213">
        <f>SUMIF('901 w. Western'!$D$2:$EE$2,'Proforma Summary'!AW$4,'901 w. Western'!$D57:$EE57)</f>
        <v>708642.7194</v>
      </c>
      <c r="AX49" s="213">
        <f>SUMIF('901 w. Western'!$D$2:$EE$2,'Proforma Summary'!AX$4,'901 w. Western'!$D57:$EE57)</f>
        <v>757113.4128</v>
      </c>
      <c r="AY49" s="213">
        <f>SUMIF('901 w. Western'!$D$2:$EE$2,'Proforma Summary'!AY$4,'901 w. Western'!$D57:$EE57)</f>
        <v>807038.2271</v>
      </c>
      <c r="AZ49" s="214">
        <f>SUMIF('901 w. Western'!$D$2:$EE$2,'Proforma Summary'!AZ$4,'901 w. Western'!$D57:$EE57)</f>
        <v>18843859.88</v>
      </c>
    </row>
    <row r="50" ht="15.75" customHeight="1">
      <c r="A50" s="41"/>
      <c r="B50" s="200"/>
      <c r="C50" s="1"/>
      <c r="D50" s="1"/>
      <c r="E50" s="1"/>
      <c r="F50" s="1"/>
      <c r="G50" s="1"/>
      <c r="H50" s="137"/>
      <c r="I50" s="1"/>
      <c r="J50" s="1"/>
      <c r="K50" s="1"/>
      <c r="L50" s="1"/>
      <c r="M50" s="201"/>
      <c r="N50" s="41"/>
      <c r="O50" s="200"/>
      <c r="P50" s="1"/>
      <c r="Q50" s="1"/>
      <c r="R50" s="1"/>
      <c r="S50" s="1"/>
      <c r="T50" s="1"/>
      <c r="U50" s="137"/>
      <c r="V50" s="1"/>
      <c r="W50" s="1"/>
      <c r="X50" s="1"/>
      <c r="Y50" s="1"/>
      <c r="Z50" s="201"/>
      <c r="AA50" s="41"/>
      <c r="AB50" s="200"/>
      <c r="AC50" s="1"/>
      <c r="AD50" s="1"/>
      <c r="AE50" s="1"/>
      <c r="AF50" s="1"/>
      <c r="AG50" s="1"/>
      <c r="AH50" s="137"/>
      <c r="AI50" s="1"/>
      <c r="AJ50" s="1"/>
      <c r="AK50" s="1"/>
      <c r="AL50" s="1"/>
      <c r="AM50" s="201"/>
      <c r="AN50" s="41"/>
      <c r="AO50" s="200"/>
      <c r="AP50" s="1"/>
      <c r="AQ50" s="1"/>
      <c r="AR50" s="1"/>
      <c r="AS50" s="1"/>
      <c r="AT50" s="1"/>
      <c r="AU50" s="137"/>
      <c r="AV50" s="1"/>
      <c r="AW50" s="1"/>
      <c r="AX50" s="1"/>
      <c r="AY50" s="1"/>
      <c r="AZ50" s="201"/>
    </row>
    <row r="51" ht="15.75" customHeight="1">
      <c r="A51" s="41"/>
      <c r="B51" s="200" t="s">
        <v>155</v>
      </c>
      <c r="C51" s="1"/>
      <c r="D51" s="217">
        <f>D47/Assumptions!$D$43</f>
        <v>0.1742804917</v>
      </c>
      <c r="E51" s="217">
        <f>E47/Assumptions!$D$43</f>
        <v>0.201319599</v>
      </c>
      <c r="F51" s="217">
        <f>F47/Assumptions!$D$43</f>
        <v>0.2073591869</v>
      </c>
      <c r="G51" s="217">
        <f>G47/Assumptions!$D$43</f>
        <v>0.08102621493</v>
      </c>
      <c r="H51" s="217">
        <f>H47/Assumptions!$D$43</f>
        <v>0.08743361381</v>
      </c>
      <c r="I51" s="217">
        <f>I47/Assumptions!$D$43</f>
        <v>0.09403323465</v>
      </c>
      <c r="J51" s="217">
        <f>J47/Assumptions!$D$43</f>
        <v>0.1008308441</v>
      </c>
      <c r="K51" s="217">
        <f>K47/Assumptions!$D$43</f>
        <v>0.1078323819</v>
      </c>
      <c r="L51" s="217">
        <f>L47/Assumptions!$D$43</f>
        <v>0.1150439658</v>
      </c>
      <c r="M51" s="218">
        <f>M47/Assumptions!$D$43</f>
        <v>0.1224718972</v>
      </c>
      <c r="N51" s="41"/>
      <c r="O51" s="200" t="s">
        <v>155</v>
      </c>
      <c r="P51" s="26"/>
      <c r="Q51" s="217">
        <f>Q47/Assumptions!$L$43</f>
        <v>0.1742804917</v>
      </c>
      <c r="R51" s="217">
        <f>R47/Assumptions!$L$43</f>
        <v>0.2022283404</v>
      </c>
      <c r="S51" s="217">
        <f>S47/Assumptions!$L$43</f>
        <v>0.2082951906</v>
      </c>
      <c r="T51" s="217">
        <f>T47/Assumptions!$L$43</f>
        <v>0.08199029875</v>
      </c>
      <c r="U51" s="217">
        <f>U47/Assumptions!$L$43</f>
        <v>0.08842662014</v>
      </c>
      <c r="V51" s="217">
        <f>V47/Assumptions!$L$43</f>
        <v>0.09505603117</v>
      </c>
      <c r="W51" s="217">
        <f>W47/Assumptions!$L$43</f>
        <v>0.1018843245</v>
      </c>
      <c r="X51" s="217">
        <f>X47/Assumptions!$L$43</f>
        <v>0.1089174667</v>
      </c>
      <c r="Y51" s="217">
        <f>Y47/Assumptions!$L$43</f>
        <v>0.1161616031</v>
      </c>
      <c r="Z51" s="218">
        <f>Z47/Assumptions!$L$43</f>
        <v>0.1236230636</v>
      </c>
      <c r="AA51" s="41"/>
      <c r="AB51" s="200" t="s">
        <v>155</v>
      </c>
      <c r="AC51" s="26"/>
      <c r="AD51" s="217">
        <f>AD47/Assumptions!$T$43</f>
        <v>0.1742804917</v>
      </c>
      <c r="AE51" s="217">
        <f>AE47/Assumptions!$T$43</f>
        <v>0.2033849896</v>
      </c>
      <c r="AF51" s="217">
        <f>AF47/Assumptions!$T$43</f>
        <v>0.2094865393</v>
      </c>
      <c r="AG51" s="217">
        <f>AG47/Assumptions!$T$43</f>
        <v>0.08321738791</v>
      </c>
      <c r="AH51" s="217">
        <f>AH47/Assumptions!$T$43</f>
        <v>0.08969052197</v>
      </c>
      <c r="AI51" s="217">
        <f>AI47/Assumptions!$T$43</f>
        <v>0.09635785006</v>
      </c>
      <c r="AJ51" s="217">
        <f>AJ47/Assumptions!$T$43</f>
        <v>0.103225198</v>
      </c>
      <c r="AK51" s="217">
        <f>AK47/Assumptions!$T$43</f>
        <v>0.1102985664</v>
      </c>
      <c r="AL51" s="217">
        <f>AL47/Assumptions!$T$43</f>
        <v>0.1175841358</v>
      </c>
      <c r="AM51" s="218">
        <f>AM47/Assumptions!$T$43</f>
        <v>0.1129374351</v>
      </c>
      <c r="AN51" s="41"/>
      <c r="AO51" s="200" t="s">
        <v>155</v>
      </c>
      <c r="AP51" s="26"/>
      <c r="AQ51" s="217">
        <f>AQ47/Assumptions!$AB$43</f>
        <v>0.1742804917</v>
      </c>
      <c r="AR51" s="217">
        <f>AR47/Assumptions!$AB$43</f>
        <v>0.2036732738</v>
      </c>
      <c r="AS51" s="217">
        <f>AS47/Assumptions!$AB$43</f>
        <v>0.2097834721</v>
      </c>
      <c r="AT51" s="217">
        <f>AT47/Assumptions!$AB$43</f>
        <v>0.08352322861</v>
      </c>
      <c r="AU51" s="217">
        <f>AU47/Assumptions!$AB$43</f>
        <v>0.0900055379</v>
      </c>
      <c r="AV51" s="217">
        <f>AV47/Assumptions!$AB$43</f>
        <v>0.09668231647</v>
      </c>
      <c r="AW51" s="217">
        <f>AW47/Assumptions!$AB$43</f>
        <v>0.1035593984</v>
      </c>
      <c r="AX51" s="217">
        <f>AX47/Assumptions!$AB$43</f>
        <v>0.1106427928</v>
      </c>
      <c r="AY51" s="217">
        <f>AY47/Assumptions!$AB$43</f>
        <v>0.117938689</v>
      </c>
      <c r="AZ51" s="218">
        <f>AZ47/Assumptions!$AB$43</f>
        <v>0.113050536</v>
      </c>
    </row>
    <row r="52" ht="15.75" customHeight="1">
      <c r="A52" s="41"/>
      <c r="B52" s="206" t="s">
        <v>156</v>
      </c>
      <c r="C52" s="6"/>
      <c r="D52" s="220">
        <f>MIN(D51:M51)</f>
        <v>0.08102621493</v>
      </c>
      <c r="E52" s="6"/>
      <c r="F52" s="221"/>
      <c r="G52" s="222"/>
      <c r="H52" s="6"/>
      <c r="I52" s="6"/>
      <c r="J52" s="6"/>
      <c r="K52" s="6"/>
      <c r="L52" s="6"/>
      <c r="M52" s="223"/>
      <c r="N52" s="41"/>
      <c r="O52" s="206" t="s">
        <v>156</v>
      </c>
      <c r="P52" s="1"/>
      <c r="Q52" s="220">
        <f>MIN(Q51:Z51)</f>
        <v>0.08199029875</v>
      </c>
      <c r="R52" s="6"/>
      <c r="S52" s="221"/>
      <c r="T52" s="222"/>
      <c r="U52" s="6"/>
      <c r="V52" s="6"/>
      <c r="W52" s="6"/>
      <c r="X52" s="6"/>
      <c r="Y52" s="6"/>
      <c r="Z52" s="223"/>
      <c r="AA52" s="41"/>
      <c r="AB52" s="206" t="s">
        <v>156</v>
      </c>
      <c r="AC52" s="1"/>
      <c r="AD52" s="220">
        <f>MIN(AD51:AM51)</f>
        <v>0.08321738791</v>
      </c>
      <c r="AE52" s="6"/>
      <c r="AF52" s="221"/>
      <c r="AG52" s="222"/>
      <c r="AH52" s="6"/>
      <c r="AI52" s="6"/>
      <c r="AJ52" s="6"/>
      <c r="AK52" s="6"/>
      <c r="AL52" s="6"/>
      <c r="AM52" s="223"/>
      <c r="AN52" s="41"/>
      <c r="AO52" s="206" t="s">
        <v>156</v>
      </c>
      <c r="AP52" s="1"/>
      <c r="AQ52" s="220">
        <f>MIN(AQ51:AZ51)</f>
        <v>0.08352322861</v>
      </c>
      <c r="AR52" s="6"/>
      <c r="AS52" s="221"/>
      <c r="AT52" s="222"/>
      <c r="AU52" s="6"/>
      <c r="AV52" s="6"/>
      <c r="AW52" s="6"/>
      <c r="AX52" s="6"/>
      <c r="AY52" s="6"/>
      <c r="AZ52" s="223"/>
    </row>
    <row r="53" ht="15.75" customHeight="1">
      <c r="A53" s="41"/>
      <c r="B53" s="200"/>
      <c r="C53" s="1"/>
      <c r="D53" s="1"/>
      <c r="E53" s="1"/>
      <c r="F53" s="224"/>
      <c r="G53" s="32"/>
      <c r="H53" s="32"/>
      <c r="I53" s="32"/>
      <c r="J53" s="32"/>
      <c r="K53" s="32"/>
      <c r="L53" s="32"/>
      <c r="M53" s="219"/>
      <c r="N53" s="41"/>
      <c r="O53" s="200"/>
      <c r="P53" s="1"/>
      <c r="Q53" s="1"/>
      <c r="R53" s="1"/>
      <c r="S53" s="224"/>
      <c r="T53" s="32"/>
      <c r="U53" s="32"/>
      <c r="V53" s="32"/>
      <c r="W53" s="32"/>
      <c r="X53" s="32"/>
      <c r="Y53" s="32"/>
      <c r="Z53" s="219"/>
      <c r="AA53" s="41"/>
      <c r="AB53" s="200"/>
      <c r="AC53" s="1"/>
      <c r="AD53" s="1"/>
      <c r="AE53" s="1"/>
      <c r="AF53" s="224"/>
      <c r="AG53" s="32"/>
      <c r="AH53" s="32"/>
      <c r="AI53" s="32"/>
      <c r="AJ53" s="32"/>
      <c r="AK53" s="32"/>
      <c r="AL53" s="32"/>
      <c r="AM53" s="219"/>
      <c r="AN53" s="41"/>
      <c r="AO53" s="200"/>
      <c r="AP53" s="1"/>
      <c r="AQ53" s="1"/>
      <c r="AR53" s="1"/>
      <c r="AS53" s="224"/>
      <c r="AT53" s="32"/>
      <c r="AU53" s="32"/>
      <c r="AV53" s="32"/>
      <c r="AW53" s="32"/>
      <c r="AX53" s="32"/>
      <c r="AY53" s="32"/>
      <c r="AZ53" s="219"/>
    </row>
    <row r="54" ht="15.75" customHeight="1">
      <c r="A54" s="41"/>
      <c r="B54" s="200" t="s">
        <v>114</v>
      </c>
      <c r="C54" s="1"/>
      <c r="D54" s="225">
        <f t="shared" ref="D54:M54" si="15">IFERROR(D38/D43,0)</f>
        <v>0</v>
      </c>
      <c r="E54" s="225">
        <f t="shared" si="15"/>
        <v>0</v>
      </c>
      <c r="F54" s="225">
        <f t="shared" si="15"/>
        <v>0</v>
      </c>
      <c r="G54" s="225">
        <f t="shared" si="15"/>
        <v>1.611270646</v>
      </c>
      <c r="H54" s="225">
        <f t="shared" si="15"/>
        <v>1.659608765</v>
      </c>
      <c r="I54" s="225">
        <f t="shared" si="15"/>
        <v>1.709397028</v>
      </c>
      <c r="J54" s="225">
        <f t="shared" si="15"/>
        <v>1.760678939</v>
      </c>
      <c r="K54" s="225">
        <f t="shared" si="15"/>
        <v>1.813499307</v>
      </c>
      <c r="L54" s="225">
        <f t="shared" si="15"/>
        <v>1.867904287</v>
      </c>
      <c r="M54" s="226">
        <f t="shared" si="15"/>
        <v>1.923941415</v>
      </c>
      <c r="N54" s="41"/>
      <c r="O54" s="200" t="s">
        <v>114</v>
      </c>
      <c r="P54" s="26"/>
      <c r="Q54" s="225">
        <f t="shared" ref="Q54:Z54" si="16">IFERROR(Q38/Q43,0)</f>
        <v>0</v>
      </c>
      <c r="R54" s="225">
        <f t="shared" si="16"/>
        <v>0</v>
      </c>
      <c r="S54" s="225">
        <f t="shared" si="16"/>
        <v>0</v>
      </c>
      <c r="T54" s="225">
        <f t="shared" si="16"/>
        <v>1.6185438</v>
      </c>
      <c r="U54" s="225">
        <f t="shared" si="16"/>
        <v>1.667100114</v>
      </c>
      <c r="V54" s="225">
        <f t="shared" si="16"/>
        <v>1.717113117</v>
      </c>
      <c r="W54" s="225">
        <f t="shared" si="16"/>
        <v>1.768626511</v>
      </c>
      <c r="X54" s="225">
        <f t="shared" si="16"/>
        <v>1.821685306</v>
      </c>
      <c r="Y54" s="225">
        <f t="shared" si="16"/>
        <v>1.876335866</v>
      </c>
      <c r="Z54" s="226">
        <f t="shared" si="16"/>
        <v>1.932625941</v>
      </c>
      <c r="AA54" s="41"/>
      <c r="AB54" s="200" t="s">
        <v>114</v>
      </c>
      <c r="AC54" s="26"/>
      <c r="AD54" s="225">
        <f t="shared" ref="AD54:AM54" si="17">IFERROR(AD38/AD43,0)</f>
        <v>0</v>
      </c>
      <c r="AE54" s="225">
        <f t="shared" si="17"/>
        <v>0</v>
      </c>
      <c r="AF54" s="225">
        <f t="shared" si="17"/>
        <v>0</v>
      </c>
      <c r="AG54" s="225">
        <f t="shared" si="17"/>
        <v>1.627801095</v>
      </c>
      <c r="AH54" s="225">
        <f t="shared" si="17"/>
        <v>1.676635128</v>
      </c>
      <c r="AI54" s="225">
        <f t="shared" si="17"/>
        <v>1.726934182</v>
      </c>
      <c r="AJ54" s="225">
        <f t="shared" si="17"/>
        <v>1.778742207</v>
      </c>
      <c r="AK54" s="225">
        <f t="shared" si="17"/>
        <v>1.832104474</v>
      </c>
      <c r="AL54" s="225">
        <f t="shared" si="17"/>
        <v>1.887067608</v>
      </c>
      <c r="AM54" s="226">
        <f t="shared" si="17"/>
        <v>1.852012389</v>
      </c>
      <c r="AN54" s="41"/>
      <c r="AO54" s="200" t="s">
        <v>114</v>
      </c>
      <c r="AP54" s="26"/>
      <c r="AQ54" s="225">
        <f t="shared" ref="AQ54:AZ54" si="18">IFERROR(AQ38/AQ43,0)</f>
        <v>0</v>
      </c>
      <c r="AR54" s="225">
        <f t="shared" si="18"/>
        <v>0</v>
      </c>
      <c r="AS54" s="225">
        <f t="shared" si="18"/>
        <v>0</v>
      </c>
      <c r="AT54" s="225">
        <f t="shared" si="18"/>
        <v>1.630108391</v>
      </c>
      <c r="AU54" s="225">
        <f t="shared" si="18"/>
        <v>1.679011643</v>
      </c>
      <c r="AV54" s="225">
        <f t="shared" si="18"/>
        <v>1.729381992</v>
      </c>
      <c r="AW54" s="225">
        <f t="shared" si="18"/>
        <v>1.781263452</v>
      </c>
      <c r="AX54" s="225">
        <f t="shared" si="18"/>
        <v>1.834701355</v>
      </c>
      <c r="AY54" s="225">
        <f t="shared" si="18"/>
        <v>1.889742396</v>
      </c>
      <c r="AZ54" s="226">
        <f t="shared" si="18"/>
        <v>1.852865634</v>
      </c>
    </row>
    <row r="55" ht="15.75" customHeight="1">
      <c r="A55" s="41"/>
      <c r="B55" s="227" t="s">
        <v>156</v>
      </c>
      <c r="C55" s="228"/>
      <c r="D55" s="229">
        <f>MINIFS(D54:M54,D54:M54, "&gt;0")</f>
        <v>1.611270646</v>
      </c>
      <c r="E55" s="228"/>
      <c r="F55" s="230"/>
      <c r="G55" s="228"/>
      <c r="H55" s="228"/>
      <c r="I55" s="228"/>
      <c r="J55" s="228"/>
      <c r="K55" s="228"/>
      <c r="L55" s="228"/>
      <c r="M55" s="231"/>
      <c r="N55" s="41"/>
      <c r="O55" s="227" t="s">
        <v>156</v>
      </c>
      <c r="P55" s="232"/>
      <c r="Q55" s="229">
        <f>MINIFS(Q54:Z54,Q54:Z54, "&gt;0")</f>
        <v>1.6185438</v>
      </c>
      <c r="R55" s="228"/>
      <c r="S55" s="230"/>
      <c r="T55" s="228"/>
      <c r="U55" s="228"/>
      <c r="V55" s="228"/>
      <c r="W55" s="228"/>
      <c r="X55" s="228"/>
      <c r="Y55" s="228"/>
      <c r="Z55" s="231"/>
      <c r="AA55" s="41"/>
      <c r="AB55" s="227" t="s">
        <v>156</v>
      </c>
      <c r="AC55" s="232"/>
      <c r="AD55" s="229">
        <f>MINIFS(AD54:AM54,AD54:AM54, "&gt;0")</f>
        <v>1.627801095</v>
      </c>
      <c r="AE55" s="228"/>
      <c r="AF55" s="230"/>
      <c r="AG55" s="228"/>
      <c r="AH55" s="228"/>
      <c r="AI55" s="228"/>
      <c r="AJ55" s="228"/>
      <c r="AK55" s="228"/>
      <c r="AL55" s="228"/>
      <c r="AM55" s="231"/>
      <c r="AN55" s="41"/>
      <c r="AO55" s="227" t="s">
        <v>156</v>
      </c>
      <c r="AP55" s="232"/>
      <c r="AQ55" s="229">
        <f>MINIFS(AQ54:AZ54,AQ54:AZ54, "&gt;0")</f>
        <v>1.630108391</v>
      </c>
      <c r="AR55" s="228"/>
      <c r="AS55" s="230"/>
      <c r="AT55" s="228"/>
      <c r="AU55" s="228"/>
      <c r="AV55" s="228"/>
      <c r="AW55" s="228"/>
      <c r="AX55" s="228"/>
      <c r="AY55" s="228"/>
      <c r="AZ55" s="231"/>
    </row>
    <row r="56" ht="15.7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</row>
    <row r="57" ht="15.7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</row>
    <row r="58" ht="15.7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</row>
    <row r="59" ht="15.7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</row>
    <row r="60" ht="15.7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</row>
    <row r="61" ht="15.7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</row>
    <row r="62" ht="15.7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</row>
    <row r="63" ht="15.7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</row>
    <row r="64" ht="15.7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</row>
    <row r="65" ht="15.7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</row>
    <row r="66" ht="15.7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</row>
    <row r="67" ht="15.7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</row>
    <row r="68" ht="15.7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</row>
    <row r="69" ht="15.7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</row>
    <row r="70" ht="15.7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</row>
    <row r="71" ht="15.7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</row>
    <row r="72" ht="15.7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</row>
    <row r="73" ht="15.7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</row>
    <row r="74" ht="15.7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</row>
    <row r="75" ht="15.7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</row>
    <row r="76" ht="15.7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</row>
    <row r="77" ht="15.7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</row>
    <row r="78" ht="15.7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</row>
    <row r="79" ht="15.7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</row>
    <row r="80" ht="15.7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</row>
    <row r="81" ht="15.7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</row>
    <row r="82" ht="15.7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</row>
    <row r="83" ht="15.7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</row>
    <row r="84" ht="15.7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</row>
    <row r="85" ht="15.7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</row>
    <row r="86" ht="15.7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</row>
    <row r="87" ht="15.7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</row>
    <row r="88" ht="15.7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</row>
    <row r="89" ht="15.7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</row>
    <row r="90" ht="15.7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</row>
    <row r="91" ht="15.7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</row>
    <row r="92" ht="15.7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</row>
    <row r="93" ht="15.7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</row>
    <row r="94" ht="15.7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</row>
    <row r="95" ht="15.7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</row>
    <row r="96" ht="15.7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</row>
    <row r="97" ht="15.7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</row>
    <row r="98" ht="15.7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</row>
    <row r="99" ht="15.7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</row>
    <row r="100" ht="15.7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</row>
    <row r="101" ht="15.7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</row>
    <row r="102" ht="15.7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</row>
    <row r="103" ht="15.7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</row>
    <row r="104" ht="15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</row>
    <row r="105" ht="15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</row>
    <row r="106" ht="15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</row>
    <row r="107" ht="15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</row>
    <row r="108" ht="15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</row>
    <row r="109" ht="15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</row>
    <row r="110" ht="15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</row>
    <row r="111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</row>
    <row r="112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</row>
    <row r="113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</row>
    <row r="114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</row>
    <row r="115" ht="15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</row>
    <row r="116" ht="15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</row>
    <row r="117" ht="15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</row>
    <row r="118" ht="15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</row>
    <row r="119" ht="15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</row>
    <row r="120" ht="15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</row>
    <row r="121" ht="15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</row>
    <row r="122" ht="15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</row>
    <row r="123" ht="15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</row>
    <row r="124" ht="15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</row>
    <row r="125" ht="15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</row>
    <row r="126" ht="15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</row>
    <row r="127" ht="15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</row>
    <row r="128" ht="15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</row>
    <row r="129" ht="15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</row>
    <row r="130" ht="15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</row>
    <row r="131" ht="15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</row>
    <row r="132" ht="15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</row>
    <row r="133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</row>
    <row r="134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</row>
    <row r="135" ht="15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</row>
    <row r="136" ht="15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</row>
    <row r="137" ht="15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</row>
    <row r="138" ht="15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</row>
    <row r="139" ht="15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</row>
    <row r="140" ht="15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</row>
    <row r="141" ht="15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</row>
    <row r="142" ht="15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</row>
    <row r="143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</row>
    <row r="144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</row>
    <row r="145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</row>
    <row r="146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</row>
    <row r="147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</row>
    <row r="148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</row>
    <row r="149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</row>
    <row r="150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</row>
    <row r="151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</row>
    <row r="152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</row>
    <row r="153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</row>
    <row r="154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</row>
    <row r="155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</row>
    <row r="15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</row>
    <row r="157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</row>
    <row r="158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</row>
    <row r="159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</row>
    <row r="160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</row>
    <row r="161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</row>
    <row r="162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</row>
    <row r="163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</row>
    <row r="164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</row>
    <row r="165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</row>
    <row r="16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</row>
    <row r="167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</row>
    <row r="168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</row>
    <row r="169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</row>
    <row r="170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</row>
    <row r="171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</row>
    <row r="172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</row>
    <row r="173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</row>
    <row r="174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</row>
    <row r="175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</row>
    <row r="17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</row>
    <row r="177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</row>
    <row r="178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</row>
    <row r="179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</row>
    <row r="180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</row>
    <row r="181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</row>
    <row r="182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</row>
    <row r="183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</row>
    <row r="184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</row>
    <row r="185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</row>
    <row r="18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</row>
    <row r="187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</row>
    <row r="188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</row>
    <row r="189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</row>
    <row r="190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</row>
    <row r="191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</row>
    <row r="192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</row>
    <row r="193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</row>
    <row r="194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</row>
    <row r="195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</row>
    <row r="19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</row>
    <row r="197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</row>
    <row r="198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</row>
    <row r="199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</row>
    <row r="200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</row>
    <row r="201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</row>
    <row r="202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</row>
    <row r="203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</row>
    <row r="204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</row>
    <row r="205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</row>
    <row r="20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</row>
    <row r="207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</row>
    <row r="208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</row>
    <row r="209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</row>
    <row r="210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</row>
    <row r="211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</row>
    <row r="212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</row>
    <row r="213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</row>
    <row r="214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</row>
    <row r="215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</row>
    <row r="21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</row>
    <row r="217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</row>
    <row r="218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</row>
    <row r="219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</row>
    <row r="220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</row>
    <row r="221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</row>
    <row r="222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</row>
    <row r="223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</row>
    <row r="224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</row>
    <row r="225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</row>
    <row r="2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</row>
    <row r="227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</row>
    <row r="228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</row>
    <row r="229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</row>
    <row r="230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</row>
    <row r="231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</row>
    <row r="232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</row>
    <row r="233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</row>
    <row r="234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</row>
    <row r="235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</row>
    <row r="23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</row>
    <row r="237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</row>
    <row r="238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</row>
    <row r="239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</row>
    <row r="240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</row>
    <row r="241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</row>
    <row r="242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</row>
    <row r="243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</row>
    <row r="244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</row>
    <row r="245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</row>
    <row r="24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</row>
    <row r="247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</row>
    <row r="248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</row>
    <row r="249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</row>
    <row r="250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</row>
    <row r="251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</row>
    <row r="252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</row>
    <row r="253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</row>
    <row r="254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</row>
    <row r="255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</row>
    <row r="25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</row>
    <row r="257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</row>
    <row r="258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</row>
    <row r="259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</row>
    <row r="260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</row>
    <row r="261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</row>
    <row r="262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</row>
    <row r="263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</row>
    <row r="264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</row>
    <row r="265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</row>
    <row r="26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</row>
    <row r="267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</row>
    <row r="268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</row>
    <row r="269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</row>
    <row r="270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</row>
    <row r="271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</row>
    <row r="272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</row>
    <row r="273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</row>
    <row r="274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</row>
    <row r="275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</row>
    <row r="27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</row>
    <row r="277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</row>
    <row r="278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</row>
    <row r="279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</row>
    <row r="280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</row>
    <row r="281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</row>
    <row r="282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</row>
    <row r="283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</row>
    <row r="284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</row>
    <row r="285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</row>
    <row r="28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</row>
    <row r="287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</row>
    <row r="288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</row>
    <row r="289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</row>
    <row r="290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</row>
    <row r="291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</row>
    <row r="292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</row>
    <row r="293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</row>
    <row r="294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</row>
    <row r="295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</row>
    <row r="29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</row>
    <row r="297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</row>
    <row r="298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</row>
    <row r="299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</row>
    <row r="300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</row>
    <row r="301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</row>
    <row r="302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</row>
    <row r="303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</row>
    <row r="304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</row>
    <row r="305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</row>
    <row r="30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</row>
    <row r="307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</row>
    <row r="308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</row>
    <row r="309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</row>
    <row r="310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</row>
    <row r="311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</row>
    <row r="312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</row>
    <row r="313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</row>
    <row r="314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</row>
    <row r="315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</row>
    <row r="31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</row>
    <row r="317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</row>
    <row r="318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</row>
    <row r="319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</row>
    <row r="320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</row>
    <row r="321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</row>
    <row r="322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</row>
    <row r="323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</row>
    <row r="324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</row>
    <row r="325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</row>
    <row r="3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</row>
    <row r="327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</row>
    <row r="328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</row>
    <row r="329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</row>
    <row r="330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</row>
    <row r="331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</row>
    <row r="332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</row>
    <row r="333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</row>
    <row r="334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</row>
    <row r="335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</row>
    <row r="33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</row>
    <row r="337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</row>
    <row r="338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</row>
    <row r="339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</row>
    <row r="340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</row>
    <row r="341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</row>
    <row r="342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</row>
    <row r="343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</row>
    <row r="344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</row>
    <row r="345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</row>
    <row r="34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</row>
    <row r="347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</row>
    <row r="348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</row>
    <row r="349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</row>
    <row r="350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</row>
    <row r="351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</row>
    <row r="352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</row>
    <row r="353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</row>
    <row r="354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</row>
    <row r="355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</row>
    <row r="35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</row>
    <row r="357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</row>
    <row r="358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</row>
    <row r="359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</row>
    <row r="360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</row>
    <row r="361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</row>
    <row r="362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</row>
    <row r="363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</row>
    <row r="364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</row>
    <row r="365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</row>
    <row r="36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</row>
    <row r="367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</row>
    <row r="368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</row>
    <row r="369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</row>
    <row r="370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</row>
    <row r="371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</row>
    <row r="372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</row>
    <row r="373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</row>
    <row r="374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</row>
    <row r="375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</row>
    <row r="37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</row>
    <row r="377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</row>
    <row r="378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</row>
    <row r="379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</row>
    <row r="380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</row>
    <row r="381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</row>
    <row r="382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</row>
    <row r="383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</row>
    <row r="384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</row>
    <row r="385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</row>
    <row r="38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</row>
    <row r="387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</row>
    <row r="388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</row>
    <row r="389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</row>
    <row r="390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</row>
    <row r="391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</row>
    <row r="392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</row>
    <row r="393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</row>
    <row r="394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</row>
    <row r="395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</row>
    <row r="39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</row>
    <row r="397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</row>
    <row r="398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</row>
    <row r="399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</row>
    <row r="400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</row>
    <row r="401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</row>
    <row r="402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</row>
    <row r="403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</row>
    <row r="404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</row>
    <row r="405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</row>
    <row r="40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</row>
    <row r="407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</row>
    <row r="408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</row>
    <row r="409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</row>
    <row r="410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</row>
    <row r="411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</row>
    <row r="412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</row>
    <row r="413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</row>
    <row r="414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</row>
    <row r="415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</row>
    <row r="41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</row>
    <row r="417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</row>
    <row r="418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</row>
    <row r="419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</row>
    <row r="420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</row>
    <row r="421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</row>
    <row r="422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</row>
    <row r="423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</row>
    <row r="424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</row>
    <row r="425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</row>
    <row r="4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</row>
    <row r="427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</row>
    <row r="428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</row>
    <row r="429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</row>
    <row r="430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</row>
    <row r="431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</row>
    <row r="432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</row>
    <row r="433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</row>
    <row r="434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</row>
    <row r="435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</row>
    <row r="43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</row>
    <row r="437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</row>
    <row r="438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</row>
    <row r="439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</row>
    <row r="440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</row>
    <row r="441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</row>
    <row r="442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</row>
    <row r="443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</row>
    <row r="444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</row>
    <row r="445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</row>
    <row r="44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</row>
    <row r="447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</row>
    <row r="448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</row>
    <row r="449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</row>
    <row r="450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</row>
    <row r="451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</row>
    <row r="452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</row>
    <row r="453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</row>
    <row r="454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</row>
    <row r="455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</row>
    <row r="45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</row>
    <row r="457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</row>
    <row r="458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</row>
    <row r="459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</row>
    <row r="460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</row>
    <row r="461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</row>
    <row r="462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</row>
    <row r="463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</row>
    <row r="464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</row>
    <row r="465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</row>
    <row r="46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</row>
    <row r="467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</row>
    <row r="468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</row>
    <row r="469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</row>
    <row r="470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</row>
    <row r="471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</row>
    <row r="472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</row>
    <row r="473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</row>
    <row r="474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</row>
    <row r="475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</row>
    <row r="47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</row>
    <row r="477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</row>
    <row r="478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</row>
    <row r="479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</row>
    <row r="480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</row>
    <row r="481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</row>
    <row r="482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</row>
    <row r="483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</row>
    <row r="484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</row>
    <row r="485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</row>
    <row r="48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</row>
    <row r="487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</row>
    <row r="488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</row>
    <row r="489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</row>
    <row r="490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</row>
    <row r="491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</row>
    <row r="492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</row>
    <row r="493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</row>
    <row r="494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</row>
    <row r="495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</row>
    <row r="49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</row>
    <row r="497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</row>
    <row r="498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</row>
    <row r="499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</row>
    <row r="500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</row>
    <row r="501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</row>
    <row r="502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</row>
    <row r="503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</row>
    <row r="504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</row>
    <row r="505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</row>
    <row r="50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</row>
    <row r="507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</row>
    <row r="508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</row>
    <row r="509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</row>
    <row r="510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</row>
    <row r="511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</row>
    <row r="512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</row>
    <row r="513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</row>
    <row r="514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</row>
    <row r="515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</row>
    <row r="51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</row>
    <row r="517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</row>
    <row r="518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</row>
    <row r="519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</row>
    <row r="520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</row>
    <row r="521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</row>
    <row r="522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</row>
    <row r="523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</row>
    <row r="524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</row>
    <row r="525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</row>
    <row r="5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</row>
    <row r="527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</row>
    <row r="528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</row>
    <row r="529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</row>
    <row r="530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</row>
    <row r="531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</row>
    <row r="532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</row>
    <row r="533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</row>
    <row r="534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</row>
    <row r="535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</row>
    <row r="53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</row>
    <row r="537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</row>
    <row r="538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</row>
    <row r="539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</row>
    <row r="540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</row>
    <row r="541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</row>
    <row r="542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</row>
    <row r="543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</row>
    <row r="544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</row>
    <row r="545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</row>
    <row r="54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</row>
    <row r="547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</row>
    <row r="548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</row>
    <row r="549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</row>
    <row r="550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</row>
    <row r="551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</row>
    <row r="552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</row>
    <row r="553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</row>
    <row r="554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</row>
    <row r="555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</row>
    <row r="55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</row>
    <row r="557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</row>
    <row r="558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</row>
    <row r="559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</row>
    <row r="560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</row>
    <row r="561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</row>
    <row r="562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</row>
    <row r="563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</row>
    <row r="564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</row>
    <row r="565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</row>
    <row r="56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</row>
    <row r="567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</row>
    <row r="568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</row>
    <row r="569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</row>
    <row r="570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</row>
    <row r="571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</row>
    <row r="572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</row>
    <row r="573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</row>
    <row r="574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</row>
    <row r="575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</row>
    <row r="57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</row>
    <row r="577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</row>
    <row r="578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</row>
    <row r="579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</row>
    <row r="580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</row>
    <row r="581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</row>
    <row r="582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</row>
    <row r="583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</row>
    <row r="584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</row>
    <row r="585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</row>
    <row r="58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</row>
    <row r="587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</row>
    <row r="588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</row>
    <row r="589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</row>
    <row r="590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</row>
    <row r="591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</row>
    <row r="592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</row>
    <row r="593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</row>
    <row r="594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</row>
    <row r="595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</row>
    <row r="59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</row>
    <row r="597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</row>
    <row r="598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</row>
    <row r="599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</row>
    <row r="600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</row>
    <row r="601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</row>
    <row r="602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</row>
    <row r="603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</row>
    <row r="604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</row>
    <row r="605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</row>
    <row r="60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</row>
    <row r="607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</row>
    <row r="608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</row>
    <row r="609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</row>
    <row r="610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</row>
    <row r="611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</row>
    <row r="612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</row>
    <row r="613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</row>
    <row r="614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</row>
    <row r="615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</row>
    <row r="61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</row>
    <row r="617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</row>
    <row r="618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</row>
    <row r="619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</row>
    <row r="620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</row>
    <row r="621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</row>
    <row r="622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</row>
    <row r="623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</row>
    <row r="624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</row>
    <row r="625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</row>
    <row r="6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</row>
    <row r="627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</row>
    <row r="628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</row>
    <row r="629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</row>
    <row r="630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</row>
    <row r="631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</row>
    <row r="632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</row>
    <row r="633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</row>
    <row r="634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</row>
    <row r="635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</row>
    <row r="63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</row>
    <row r="637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</row>
    <row r="638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</row>
    <row r="639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</row>
    <row r="640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</row>
    <row r="641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</row>
    <row r="642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</row>
    <row r="643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</row>
    <row r="644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</row>
    <row r="645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</row>
    <row r="64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</row>
    <row r="647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</row>
    <row r="648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</row>
    <row r="649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</row>
    <row r="650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</row>
    <row r="651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</row>
    <row r="652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</row>
    <row r="653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</row>
    <row r="654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</row>
    <row r="655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</row>
    <row r="65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</row>
    <row r="657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</row>
    <row r="658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</row>
    <row r="659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</row>
    <row r="660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</row>
    <row r="661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</row>
    <row r="662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</row>
    <row r="663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</row>
    <row r="664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</row>
    <row r="665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</row>
    <row r="66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</row>
    <row r="667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</row>
    <row r="668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</row>
    <row r="669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</row>
    <row r="670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</row>
    <row r="671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</row>
    <row r="672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</row>
    <row r="673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</row>
    <row r="674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</row>
    <row r="675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</row>
    <row r="67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</row>
    <row r="677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</row>
    <row r="678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</row>
    <row r="679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</row>
    <row r="680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</row>
    <row r="681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</row>
    <row r="682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</row>
    <row r="683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</row>
    <row r="684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</row>
    <row r="685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</row>
    <row r="68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</row>
    <row r="687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</row>
    <row r="688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</row>
    <row r="689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</row>
    <row r="690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</row>
    <row r="691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</row>
    <row r="692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</row>
    <row r="693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</row>
    <row r="694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</row>
    <row r="695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</row>
    <row r="69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</row>
    <row r="697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</row>
    <row r="698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</row>
    <row r="699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</row>
    <row r="700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</row>
    <row r="701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</row>
    <row r="702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</row>
    <row r="703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</row>
    <row r="704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</row>
    <row r="705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</row>
    <row r="70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</row>
    <row r="707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</row>
    <row r="708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</row>
    <row r="709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</row>
    <row r="710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</row>
    <row r="711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</row>
    <row r="712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</row>
    <row r="713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</row>
    <row r="714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</row>
    <row r="715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</row>
    <row r="71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</row>
    <row r="717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</row>
    <row r="718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</row>
    <row r="719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</row>
    <row r="720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</row>
    <row r="721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</row>
    <row r="722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</row>
    <row r="723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</row>
    <row r="724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</row>
    <row r="725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</row>
    <row r="7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</row>
    <row r="727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</row>
    <row r="728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</row>
    <row r="729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</row>
    <row r="730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</row>
    <row r="731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</row>
    <row r="732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</row>
    <row r="733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</row>
    <row r="734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</row>
    <row r="735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</row>
    <row r="73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</row>
    <row r="737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</row>
    <row r="738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</row>
    <row r="739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</row>
    <row r="740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</row>
    <row r="741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</row>
    <row r="742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</row>
    <row r="743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</row>
    <row r="744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</row>
    <row r="745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</row>
    <row r="74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</row>
    <row r="747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</row>
    <row r="748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</row>
    <row r="749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</row>
    <row r="750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</row>
    <row r="751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</row>
    <row r="752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</row>
    <row r="753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</row>
    <row r="754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</row>
    <row r="755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</row>
    <row r="75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</row>
    <row r="757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</row>
    <row r="758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</row>
    <row r="759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</row>
    <row r="760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</row>
    <row r="761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</row>
    <row r="762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</row>
    <row r="763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</row>
    <row r="764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</row>
    <row r="765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</row>
    <row r="76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</row>
    <row r="767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</row>
    <row r="768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</row>
    <row r="769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</row>
    <row r="770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</row>
    <row r="771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</row>
    <row r="772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</row>
    <row r="773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</row>
    <row r="774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</row>
    <row r="775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</row>
    <row r="77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</row>
    <row r="777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</row>
    <row r="778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</row>
    <row r="779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</row>
    <row r="780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</row>
    <row r="781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</row>
    <row r="782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</row>
    <row r="783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</row>
    <row r="784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</row>
    <row r="785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</row>
    <row r="78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</row>
    <row r="787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</row>
    <row r="788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</row>
    <row r="789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</row>
    <row r="790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</row>
    <row r="791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</row>
    <row r="792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</row>
    <row r="793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</row>
    <row r="794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</row>
    <row r="795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</row>
    <row r="79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</row>
    <row r="797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</row>
    <row r="798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</row>
    <row r="799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</row>
    <row r="800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</row>
    <row r="801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</row>
    <row r="802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</row>
    <row r="803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</row>
    <row r="804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</row>
    <row r="805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</row>
    <row r="80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</row>
    <row r="807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</row>
    <row r="808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</row>
    <row r="809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</row>
    <row r="810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</row>
    <row r="811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</row>
    <row r="812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</row>
    <row r="813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</row>
    <row r="814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</row>
    <row r="815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</row>
    <row r="81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</row>
    <row r="817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</row>
    <row r="818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</row>
    <row r="819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</row>
    <row r="820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</row>
    <row r="821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</row>
    <row r="822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</row>
    <row r="823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</row>
    <row r="824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</row>
    <row r="825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</row>
    <row r="8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</row>
    <row r="827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</row>
    <row r="828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</row>
    <row r="829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</row>
    <row r="830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</row>
    <row r="831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</row>
    <row r="832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</row>
    <row r="833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</row>
    <row r="834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</row>
    <row r="835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</row>
    <row r="83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</row>
    <row r="837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</row>
    <row r="838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</row>
    <row r="839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</row>
    <row r="840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</row>
    <row r="841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</row>
    <row r="842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</row>
    <row r="843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</row>
    <row r="844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</row>
    <row r="845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</row>
    <row r="84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</row>
    <row r="847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</row>
    <row r="848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</row>
    <row r="849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</row>
    <row r="850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</row>
    <row r="851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</row>
    <row r="852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</row>
    <row r="853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</row>
    <row r="854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</row>
    <row r="855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</row>
    <row r="85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</row>
    <row r="857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</row>
    <row r="858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</row>
    <row r="859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</row>
    <row r="860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</row>
    <row r="861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</row>
    <row r="862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</row>
    <row r="863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</row>
    <row r="864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</row>
    <row r="865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</row>
    <row r="86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</row>
    <row r="867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</row>
    <row r="868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</row>
    <row r="869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</row>
    <row r="870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</row>
    <row r="871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</row>
    <row r="872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</row>
    <row r="873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</row>
    <row r="874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</row>
    <row r="875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</row>
    <row r="87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</row>
    <row r="877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</row>
    <row r="878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</row>
    <row r="879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</row>
    <row r="880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</row>
    <row r="881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</row>
    <row r="882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</row>
    <row r="883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</row>
    <row r="884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</row>
    <row r="885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</row>
    <row r="88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</row>
    <row r="887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</row>
    <row r="888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</row>
    <row r="889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</row>
    <row r="890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</row>
    <row r="891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</row>
    <row r="892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</row>
    <row r="893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</row>
    <row r="894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</row>
    <row r="895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</row>
    <row r="89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</row>
    <row r="897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</row>
    <row r="898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</row>
    <row r="899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</row>
    <row r="900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</row>
    <row r="901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</row>
    <row r="902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</row>
    <row r="903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</row>
    <row r="904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</row>
    <row r="905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</row>
    <row r="90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</row>
    <row r="907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</row>
    <row r="908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</row>
    <row r="909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</row>
    <row r="910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</row>
    <row r="911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</row>
    <row r="912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</row>
    <row r="913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</row>
    <row r="914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</row>
    <row r="915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</row>
    <row r="91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</row>
    <row r="917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</row>
    <row r="918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</row>
    <row r="919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</row>
    <row r="920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</row>
    <row r="921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</row>
    <row r="922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</row>
    <row r="923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</row>
    <row r="924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</row>
    <row r="925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</row>
    <row r="9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</row>
    <row r="927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</row>
    <row r="928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</row>
    <row r="929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</row>
    <row r="930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</row>
    <row r="931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</row>
    <row r="932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</row>
    <row r="933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</row>
    <row r="934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</row>
    <row r="935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</row>
    <row r="93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</row>
    <row r="937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</row>
    <row r="938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</row>
    <row r="939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</row>
    <row r="940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</row>
    <row r="941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</row>
    <row r="942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</row>
    <row r="943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</row>
    <row r="944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</row>
    <row r="945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</row>
    <row r="94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</row>
    <row r="947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</row>
    <row r="948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</row>
    <row r="949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</row>
    <row r="950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</row>
    <row r="951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</row>
    <row r="952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</row>
    <row r="953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</row>
    <row r="954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</row>
    <row r="955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</row>
    <row r="95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</row>
    <row r="957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</row>
    <row r="958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</row>
    <row r="959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</row>
    <row r="960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</row>
    <row r="961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</row>
    <row r="962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</row>
    <row r="963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</row>
    <row r="964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</row>
    <row r="965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</row>
    <row r="96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</row>
    <row r="967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</row>
    <row r="968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</row>
    <row r="969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</row>
    <row r="970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</row>
    <row r="971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</row>
    <row r="972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</row>
    <row r="973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</row>
    <row r="974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</row>
    <row r="975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</row>
    <row r="97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</row>
    <row r="977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</row>
    <row r="978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</row>
    <row r="979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</row>
    <row r="980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</row>
    <row r="981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</row>
    <row r="982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</row>
    <row r="983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</row>
    <row r="984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</row>
    <row r="985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</row>
    <row r="98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</row>
    <row r="987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</row>
    <row r="988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</row>
    <row r="989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</row>
    <row r="990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</row>
    <row r="991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</row>
    <row r="992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</row>
    <row r="993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</row>
    <row r="994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</row>
    <row r="995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</row>
    <row r="99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</row>
    <row r="997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</row>
    <row r="998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</row>
    <row r="999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</row>
    <row r="1000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57070"/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43.71"/>
    <col customWidth="1" min="3" max="3" width="13.86"/>
    <col customWidth="1" min="4" max="4" width="9.0"/>
    <col customWidth="1" min="5" max="5" width="12.43"/>
    <col customWidth="1" min="6" max="10" width="11.14"/>
    <col customWidth="1" min="11" max="11" width="10.86"/>
    <col customWidth="1" min="12" max="14" width="10.71"/>
    <col customWidth="1" min="15" max="15" width="11.29"/>
    <col customWidth="1" min="16" max="16" width="8.86"/>
    <col customWidth="1" min="17" max="17" width="43.71"/>
    <col customWidth="1" min="18" max="18" width="13.86"/>
    <col customWidth="1" min="19" max="19" width="7.29"/>
    <col customWidth="1" min="20" max="20" width="11.29"/>
    <col customWidth="1" min="21" max="26" width="10.71"/>
    <col customWidth="1" min="27" max="29" width="11.86"/>
    <col customWidth="1" min="30" max="30" width="12.43"/>
    <col customWidth="1" min="31" max="31" width="8.86"/>
    <col customWidth="1" min="32" max="32" width="43.71"/>
    <col customWidth="1" min="33" max="33" width="13.86"/>
    <col customWidth="1" min="34" max="34" width="7.29"/>
    <col customWidth="1" min="35" max="35" width="11.29"/>
    <col customWidth="1" min="36" max="44" width="10.71"/>
    <col customWidth="1" min="45" max="45" width="11.29"/>
    <col customWidth="1" min="46" max="46" width="8.86"/>
    <col customWidth="1" min="47" max="47" width="43.71"/>
    <col customWidth="1" min="48" max="48" width="13.86"/>
    <col customWidth="1" min="49" max="49" width="7.29"/>
    <col customWidth="1" min="50" max="50" width="11.29"/>
    <col customWidth="1" min="51" max="57" width="10.71"/>
    <col customWidth="1" min="58" max="59" width="11.86"/>
    <col customWidth="1" min="60" max="60" width="12.43"/>
  </cols>
  <sheetData>
    <row r="1" ht="15.75" customHeight="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</row>
    <row r="2" ht="15.75" customHeight="1">
      <c r="A2" s="41"/>
      <c r="B2" s="42" t="str">
        <f>Assumptions!B2</f>
        <v>305 e. DANIEL</v>
      </c>
      <c r="C2" s="43"/>
      <c r="D2" s="43"/>
      <c r="E2" s="43"/>
      <c r="F2" s="43"/>
      <c r="G2" s="43"/>
      <c r="H2" s="233"/>
      <c r="I2" s="233"/>
      <c r="J2" s="233"/>
      <c r="K2" s="233"/>
      <c r="L2" s="233"/>
      <c r="M2" s="233"/>
      <c r="N2" s="233"/>
      <c r="O2" s="234"/>
      <c r="P2" s="41"/>
      <c r="Q2" s="42" t="str">
        <f>Assumptions!J2</f>
        <v>75 e. ARMORY</v>
      </c>
      <c r="R2" s="45"/>
      <c r="S2" s="43"/>
      <c r="T2" s="43"/>
      <c r="U2" s="43"/>
      <c r="V2" s="43"/>
      <c r="W2" s="43"/>
      <c r="X2" s="233"/>
      <c r="Y2" s="233"/>
      <c r="Z2" s="233"/>
      <c r="AA2" s="233"/>
      <c r="AB2" s="233"/>
      <c r="AC2" s="233"/>
      <c r="AD2" s="234"/>
      <c r="AE2" s="41"/>
      <c r="AF2" s="42" t="str">
        <f>Assumptions!R2</f>
        <v>507 s. SECOND</v>
      </c>
      <c r="AG2" s="45"/>
      <c r="AH2" s="43"/>
      <c r="AI2" s="43"/>
      <c r="AJ2" s="43"/>
      <c r="AK2" s="43"/>
      <c r="AL2" s="43"/>
      <c r="AM2" s="233"/>
      <c r="AN2" s="233"/>
      <c r="AO2" s="233"/>
      <c r="AP2" s="233"/>
      <c r="AQ2" s="233"/>
      <c r="AR2" s="233"/>
      <c r="AS2" s="234"/>
      <c r="AT2" s="41"/>
      <c r="AU2" s="42" t="str">
        <f>Assumptions!Z2</f>
        <v>901 w. WESTERN</v>
      </c>
      <c r="AV2" s="233"/>
      <c r="AW2" s="233"/>
      <c r="AX2" s="233"/>
      <c r="AY2" s="233"/>
      <c r="AZ2" s="233"/>
      <c r="BA2" s="233"/>
      <c r="BB2" s="233"/>
      <c r="BC2" s="233"/>
      <c r="BD2" s="233"/>
      <c r="BE2" s="233"/>
      <c r="BF2" s="233"/>
      <c r="BG2" s="233"/>
      <c r="BH2" s="234"/>
    </row>
    <row r="3" ht="15.75" customHeight="1">
      <c r="A3" s="41"/>
      <c r="B3" s="50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82"/>
      <c r="P3" s="41"/>
      <c r="Q3" s="5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82"/>
      <c r="AE3" s="41"/>
      <c r="AF3" s="50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82"/>
      <c r="AT3" s="41"/>
      <c r="AU3" s="50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82"/>
    </row>
    <row r="4" ht="15.75" customHeight="1">
      <c r="A4" s="41"/>
      <c r="B4" s="235" t="s">
        <v>136</v>
      </c>
      <c r="C4" s="110"/>
      <c r="D4" s="110"/>
      <c r="E4" s="110">
        <v>0.0</v>
      </c>
      <c r="F4" s="110">
        <v>1.0</v>
      </c>
      <c r="G4" s="110">
        <f t="shared" ref="G4:O4" si="1">F4+1</f>
        <v>2</v>
      </c>
      <c r="H4" s="110">
        <f t="shared" si="1"/>
        <v>3</v>
      </c>
      <c r="I4" s="110">
        <f t="shared" si="1"/>
        <v>4</v>
      </c>
      <c r="J4" s="110">
        <f t="shared" si="1"/>
        <v>5</v>
      </c>
      <c r="K4" s="110">
        <f t="shared" si="1"/>
        <v>6</v>
      </c>
      <c r="L4" s="110">
        <f t="shared" si="1"/>
        <v>7</v>
      </c>
      <c r="M4" s="110">
        <f t="shared" si="1"/>
        <v>8</v>
      </c>
      <c r="N4" s="110">
        <f t="shared" si="1"/>
        <v>9</v>
      </c>
      <c r="O4" s="111">
        <f t="shared" si="1"/>
        <v>10</v>
      </c>
      <c r="P4" s="41"/>
      <c r="Q4" s="235" t="s">
        <v>136</v>
      </c>
      <c r="R4" s="110"/>
      <c r="S4" s="110"/>
      <c r="T4" s="110">
        <v>0.0</v>
      </c>
      <c r="U4" s="110">
        <v>1.0</v>
      </c>
      <c r="V4" s="110">
        <f t="shared" ref="V4:AD4" si="2">U4+1</f>
        <v>2</v>
      </c>
      <c r="W4" s="110">
        <f t="shared" si="2"/>
        <v>3</v>
      </c>
      <c r="X4" s="110">
        <f t="shared" si="2"/>
        <v>4</v>
      </c>
      <c r="Y4" s="110">
        <f t="shared" si="2"/>
        <v>5</v>
      </c>
      <c r="Z4" s="110">
        <f t="shared" si="2"/>
        <v>6</v>
      </c>
      <c r="AA4" s="110">
        <f t="shared" si="2"/>
        <v>7</v>
      </c>
      <c r="AB4" s="110">
        <f t="shared" si="2"/>
        <v>8</v>
      </c>
      <c r="AC4" s="110">
        <f t="shared" si="2"/>
        <v>9</v>
      </c>
      <c r="AD4" s="111">
        <f t="shared" si="2"/>
        <v>10</v>
      </c>
      <c r="AE4" s="41"/>
      <c r="AF4" s="235" t="s">
        <v>136</v>
      </c>
      <c r="AG4" s="110"/>
      <c r="AH4" s="110"/>
      <c r="AI4" s="110">
        <v>0.0</v>
      </c>
      <c r="AJ4" s="110">
        <v>1.0</v>
      </c>
      <c r="AK4" s="110">
        <f t="shared" ref="AK4:AS4" si="3">AJ4+1</f>
        <v>2</v>
      </c>
      <c r="AL4" s="110">
        <f t="shared" si="3"/>
        <v>3</v>
      </c>
      <c r="AM4" s="110">
        <f t="shared" si="3"/>
        <v>4</v>
      </c>
      <c r="AN4" s="110">
        <f t="shared" si="3"/>
        <v>5</v>
      </c>
      <c r="AO4" s="110">
        <f t="shared" si="3"/>
        <v>6</v>
      </c>
      <c r="AP4" s="110">
        <f t="shared" si="3"/>
        <v>7</v>
      </c>
      <c r="AQ4" s="110">
        <f t="shared" si="3"/>
        <v>8</v>
      </c>
      <c r="AR4" s="110">
        <f t="shared" si="3"/>
        <v>9</v>
      </c>
      <c r="AS4" s="111">
        <f t="shared" si="3"/>
        <v>10</v>
      </c>
      <c r="AT4" s="41"/>
      <c r="AU4" s="235" t="s">
        <v>136</v>
      </c>
      <c r="AV4" s="110"/>
      <c r="AW4" s="110"/>
      <c r="AX4" s="110">
        <v>0.0</v>
      </c>
      <c r="AY4" s="110">
        <v>1.0</v>
      </c>
      <c r="AZ4" s="110">
        <f t="shared" ref="AZ4:BH4" si="4">AY4+1</f>
        <v>2</v>
      </c>
      <c r="BA4" s="110">
        <f t="shared" si="4"/>
        <v>3</v>
      </c>
      <c r="BB4" s="110">
        <f t="shared" si="4"/>
        <v>4</v>
      </c>
      <c r="BC4" s="110">
        <f t="shared" si="4"/>
        <v>5</v>
      </c>
      <c r="BD4" s="110">
        <f t="shared" si="4"/>
        <v>6</v>
      </c>
      <c r="BE4" s="110">
        <f t="shared" si="4"/>
        <v>7</v>
      </c>
      <c r="BF4" s="110">
        <f t="shared" si="4"/>
        <v>8</v>
      </c>
      <c r="BG4" s="110">
        <f t="shared" si="4"/>
        <v>9</v>
      </c>
      <c r="BH4" s="111">
        <f t="shared" si="4"/>
        <v>10</v>
      </c>
    </row>
    <row r="5" ht="15.75" customHeight="1">
      <c r="A5" s="41"/>
      <c r="B5" s="50"/>
      <c r="C5" s="1"/>
      <c r="D5" s="1"/>
      <c r="E5" s="68"/>
      <c r="F5" s="54"/>
      <c r="G5" s="54"/>
      <c r="H5" s="54"/>
      <c r="I5" s="54"/>
      <c r="J5" s="54"/>
      <c r="K5" s="54"/>
      <c r="L5" s="54"/>
      <c r="M5" s="54"/>
      <c r="N5" s="54"/>
      <c r="O5" s="106"/>
      <c r="P5" s="41"/>
      <c r="Q5" s="50"/>
      <c r="R5" s="1"/>
      <c r="S5" s="1"/>
      <c r="T5" s="68"/>
      <c r="U5" s="54"/>
      <c r="V5" s="54"/>
      <c r="W5" s="54"/>
      <c r="X5" s="54"/>
      <c r="Y5" s="54"/>
      <c r="Z5" s="54"/>
      <c r="AA5" s="54"/>
      <c r="AB5" s="54"/>
      <c r="AC5" s="54"/>
      <c r="AD5" s="106"/>
      <c r="AE5" s="41"/>
      <c r="AF5" s="50"/>
      <c r="AG5" s="1"/>
      <c r="AH5" s="1"/>
      <c r="AI5" s="68"/>
      <c r="AJ5" s="54"/>
      <c r="AK5" s="54"/>
      <c r="AL5" s="54"/>
      <c r="AM5" s="54"/>
      <c r="AN5" s="54"/>
      <c r="AO5" s="54"/>
      <c r="AP5" s="54"/>
      <c r="AQ5" s="54"/>
      <c r="AR5" s="54"/>
      <c r="AS5" s="106"/>
      <c r="AT5" s="41"/>
      <c r="AU5" s="50"/>
      <c r="AV5" s="1"/>
      <c r="AW5" s="1"/>
      <c r="AX5" s="68"/>
      <c r="AY5" s="54"/>
      <c r="AZ5" s="54"/>
      <c r="BA5" s="54"/>
      <c r="BB5" s="54"/>
      <c r="BC5" s="54"/>
      <c r="BD5" s="54"/>
      <c r="BE5" s="54"/>
      <c r="BF5" s="54"/>
      <c r="BG5" s="54"/>
      <c r="BH5" s="106"/>
    </row>
    <row r="6" ht="15.75" customHeight="1">
      <c r="A6" s="41"/>
      <c r="B6" s="235" t="s">
        <v>157</v>
      </c>
      <c r="C6" s="26"/>
      <c r="D6" s="26"/>
      <c r="E6" s="211">
        <f>Assumptions!D43</f>
        <v>2008385.664</v>
      </c>
      <c r="F6" s="211">
        <f>'Proforma Summary'!D40</f>
        <v>0</v>
      </c>
      <c r="G6" s="211">
        <f>'Proforma Summary'!E40</f>
        <v>0</v>
      </c>
      <c r="H6" s="211">
        <f>'Proforma Summary'!F40</f>
        <v>0</v>
      </c>
      <c r="I6" s="211">
        <f>'Proforma Summary'!G40</f>
        <v>0</v>
      </c>
      <c r="J6" s="211">
        <f>'Proforma Summary'!H40</f>
        <v>0</v>
      </c>
      <c r="K6" s="211">
        <f>'Proforma Summary'!I40</f>
        <v>0</v>
      </c>
      <c r="L6" s="211">
        <f>'Proforma Summary'!J40</f>
        <v>0</v>
      </c>
      <c r="M6" s="211">
        <f>'Proforma Summary'!K40</f>
        <v>0</v>
      </c>
      <c r="N6" s="211">
        <f>'Proforma Summary'!L40</f>
        <v>0</v>
      </c>
      <c r="O6" s="236">
        <f>'Proforma Summary'!M40</f>
        <v>0</v>
      </c>
      <c r="P6" s="41"/>
      <c r="Q6" s="235" t="s">
        <v>157</v>
      </c>
      <c r="R6" s="26"/>
      <c r="S6" s="26"/>
      <c r="T6" s="211">
        <f>Assumptions!L43</f>
        <v>7213828.965</v>
      </c>
      <c r="U6" s="211">
        <f>'Proforma Summary'!Q40</f>
        <v>0</v>
      </c>
      <c r="V6" s="211">
        <f>'Proforma Summary'!R40</f>
        <v>0</v>
      </c>
      <c r="W6" s="211">
        <f>'Proforma Summary'!S40</f>
        <v>0</v>
      </c>
      <c r="X6" s="211">
        <f>'Proforma Summary'!T40</f>
        <v>0</v>
      </c>
      <c r="Y6" s="211">
        <f>'Proforma Summary'!U40</f>
        <v>0</v>
      </c>
      <c r="Z6" s="211">
        <f>'Proforma Summary'!V40</f>
        <v>0</v>
      </c>
      <c r="AA6" s="211">
        <f>'Proforma Summary'!W40</f>
        <v>0</v>
      </c>
      <c r="AB6" s="211">
        <f>'Proforma Summary'!X40</f>
        <v>0</v>
      </c>
      <c r="AC6" s="211">
        <f>'Proforma Summary'!Y40</f>
        <v>0</v>
      </c>
      <c r="AD6" s="211">
        <f>'Proforma Summary'!Z40</f>
        <v>0</v>
      </c>
      <c r="AE6" s="41"/>
      <c r="AF6" s="235" t="s">
        <v>157</v>
      </c>
      <c r="AG6" s="26"/>
      <c r="AH6" s="26"/>
      <c r="AI6" s="211">
        <f>Assumptions!T43</f>
        <v>4119922.913</v>
      </c>
      <c r="AJ6" s="211">
        <f>'Proforma Summary'!AD40</f>
        <v>0</v>
      </c>
      <c r="AK6" s="211">
        <f>'Proforma Summary'!AE40</f>
        <v>0</v>
      </c>
      <c r="AL6" s="211">
        <f>'Proforma Summary'!AF40</f>
        <v>0</v>
      </c>
      <c r="AM6" s="211">
        <f>'Proforma Summary'!AG40</f>
        <v>0</v>
      </c>
      <c r="AN6" s="211">
        <f>'Proforma Summary'!AH40</f>
        <v>0</v>
      </c>
      <c r="AO6" s="211">
        <f>'Proforma Summary'!AI40</f>
        <v>0</v>
      </c>
      <c r="AP6" s="211">
        <f>'Proforma Summary'!AJ40</f>
        <v>0</v>
      </c>
      <c r="AQ6" s="211">
        <f>'Proforma Summary'!AK40</f>
        <v>0</v>
      </c>
      <c r="AR6" s="211">
        <f>'Proforma Summary'!AL40</f>
        <v>0</v>
      </c>
      <c r="AS6" s="211">
        <f>'Proforma Summary'!AM40</f>
        <v>0</v>
      </c>
      <c r="AT6" s="41"/>
      <c r="AU6" s="235" t="s">
        <v>157</v>
      </c>
      <c r="AV6" s="26"/>
      <c r="AW6" s="26"/>
      <c r="AX6" s="211">
        <f>Assumptions!AB43</f>
        <v>6842862.458</v>
      </c>
      <c r="AY6" s="211">
        <f>'Proforma Summary'!AQ40</f>
        <v>0</v>
      </c>
      <c r="AZ6" s="211">
        <f>'Proforma Summary'!AR40</f>
        <v>0</v>
      </c>
      <c r="BA6" s="211">
        <f>'Proforma Summary'!AS40</f>
        <v>0</v>
      </c>
      <c r="BB6" s="211">
        <f>'Proforma Summary'!AT40</f>
        <v>0</v>
      </c>
      <c r="BC6" s="211">
        <f>'Proforma Summary'!AU40</f>
        <v>0</v>
      </c>
      <c r="BD6" s="211">
        <f>'Proforma Summary'!AV40</f>
        <v>0</v>
      </c>
      <c r="BE6" s="211">
        <f>'Proforma Summary'!AW40</f>
        <v>0</v>
      </c>
      <c r="BF6" s="211">
        <f>'Proforma Summary'!AX40</f>
        <v>0</v>
      </c>
      <c r="BG6" s="211">
        <f>'Proforma Summary'!AY40</f>
        <v>0</v>
      </c>
      <c r="BH6" s="211">
        <f>'Proforma Summary'!AZ40</f>
        <v>0</v>
      </c>
    </row>
    <row r="7" ht="15.75" customHeight="1">
      <c r="A7" s="41"/>
      <c r="B7" s="50" t="s">
        <v>128</v>
      </c>
      <c r="C7" s="237"/>
      <c r="D7" s="59">
        <f t="shared" ref="D7:D9" si="9">E7/$E$6</f>
        <v>0.02</v>
      </c>
      <c r="E7" s="54">
        <f>Assumptions!D45</f>
        <v>40167.71329</v>
      </c>
      <c r="F7" s="54">
        <f t="shared" ref="F7:O7" si="5">F$6*$D7</f>
        <v>0</v>
      </c>
      <c r="G7" s="54">
        <f t="shared" si="5"/>
        <v>0</v>
      </c>
      <c r="H7" s="54">
        <f t="shared" si="5"/>
        <v>0</v>
      </c>
      <c r="I7" s="54">
        <f t="shared" si="5"/>
        <v>0</v>
      </c>
      <c r="J7" s="54">
        <f t="shared" si="5"/>
        <v>0</v>
      </c>
      <c r="K7" s="54">
        <f t="shared" si="5"/>
        <v>0</v>
      </c>
      <c r="L7" s="54">
        <f t="shared" si="5"/>
        <v>0</v>
      </c>
      <c r="M7" s="54">
        <f t="shared" si="5"/>
        <v>0</v>
      </c>
      <c r="N7" s="54">
        <f t="shared" si="5"/>
        <v>0</v>
      </c>
      <c r="O7" s="106">
        <f t="shared" si="5"/>
        <v>0</v>
      </c>
      <c r="P7" s="41"/>
      <c r="Q7" s="50" t="s">
        <v>128</v>
      </c>
      <c r="R7" s="68"/>
      <c r="S7" s="59">
        <f t="shared" ref="S7:S9" si="11">T7/$T$6</f>
        <v>0.02</v>
      </c>
      <c r="T7" s="54">
        <f>Assumptions!L45</f>
        <v>144276.5793</v>
      </c>
      <c r="U7" s="54">
        <f t="shared" ref="U7:AD7" si="6">U$6*$S7</f>
        <v>0</v>
      </c>
      <c r="V7" s="54">
        <f t="shared" si="6"/>
        <v>0</v>
      </c>
      <c r="W7" s="54">
        <f t="shared" si="6"/>
        <v>0</v>
      </c>
      <c r="X7" s="54">
        <f t="shared" si="6"/>
        <v>0</v>
      </c>
      <c r="Y7" s="54">
        <f t="shared" si="6"/>
        <v>0</v>
      </c>
      <c r="Z7" s="54">
        <f t="shared" si="6"/>
        <v>0</v>
      </c>
      <c r="AA7" s="54">
        <f t="shared" si="6"/>
        <v>0</v>
      </c>
      <c r="AB7" s="54">
        <f t="shared" si="6"/>
        <v>0</v>
      </c>
      <c r="AC7" s="54">
        <f t="shared" si="6"/>
        <v>0</v>
      </c>
      <c r="AD7" s="106">
        <f t="shared" si="6"/>
        <v>0</v>
      </c>
      <c r="AE7" s="41"/>
      <c r="AF7" s="50" t="s">
        <v>128</v>
      </c>
      <c r="AG7" s="68"/>
      <c r="AH7" s="59">
        <f t="shared" ref="AH7:AH9" si="13">AI7/$AI$6</f>
        <v>0.02</v>
      </c>
      <c r="AI7" s="54">
        <f>Assumptions!T45</f>
        <v>82398.45827</v>
      </c>
      <c r="AJ7" s="54">
        <f t="shared" ref="AJ7:AS7" si="7">AJ$6*$D7</f>
        <v>0</v>
      </c>
      <c r="AK7" s="54">
        <f t="shared" si="7"/>
        <v>0</v>
      </c>
      <c r="AL7" s="54">
        <f t="shared" si="7"/>
        <v>0</v>
      </c>
      <c r="AM7" s="54">
        <f t="shared" si="7"/>
        <v>0</v>
      </c>
      <c r="AN7" s="54">
        <f t="shared" si="7"/>
        <v>0</v>
      </c>
      <c r="AO7" s="54">
        <f t="shared" si="7"/>
        <v>0</v>
      </c>
      <c r="AP7" s="54">
        <f t="shared" si="7"/>
        <v>0</v>
      </c>
      <c r="AQ7" s="54">
        <f t="shared" si="7"/>
        <v>0</v>
      </c>
      <c r="AR7" s="54">
        <f t="shared" si="7"/>
        <v>0</v>
      </c>
      <c r="AS7" s="106">
        <f t="shared" si="7"/>
        <v>0</v>
      </c>
      <c r="AT7" s="41"/>
      <c r="AU7" s="50" t="s">
        <v>128</v>
      </c>
      <c r="AV7" s="68"/>
      <c r="AW7" s="59">
        <f t="shared" ref="AW7:AW9" si="14">AX7/$AX$6</f>
        <v>0.02</v>
      </c>
      <c r="AX7" s="54">
        <f>Assumptions!AB45</f>
        <v>136857.2492</v>
      </c>
      <c r="AY7" s="207">
        <f t="shared" ref="AY7:BH7" si="8">$AW7*AY$6</f>
        <v>0</v>
      </c>
      <c r="AZ7" s="207">
        <f t="shared" si="8"/>
        <v>0</v>
      </c>
      <c r="BA7" s="207">
        <f t="shared" si="8"/>
        <v>0</v>
      </c>
      <c r="BB7" s="207">
        <f t="shared" si="8"/>
        <v>0</v>
      </c>
      <c r="BC7" s="207">
        <f t="shared" si="8"/>
        <v>0</v>
      </c>
      <c r="BD7" s="207">
        <f t="shared" si="8"/>
        <v>0</v>
      </c>
      <c r="BE7" s="207">
        <f t="shared" si="8"/>
        <v>0</v>
      </c>
      <c r="BF7" s="207">
        <f t="shared" si="8"/>
        <v>0</v>
      </c>
      <c r="BG7" s="207">
        <f t="shared" si="8"/>
        <v>0</v>
      </c>
      <c r="BH7" s="238">
        <f t="shared" si="8"/>
        <v>0</v>
      </c>
    </row>
    <row r="8" ht="15.75" customHeight="1">
      <c r="A8" s="41"/>
      <c r="B8" s="50" t="s">
        <v>129</v>
      </c>
      <c r="C8" s="237"/>
      <c r="D8" s="59">
        <f t="shared" si="9"/>
        <v>0.08</v>
      </c>
      <c r="E8" s="54">
        <f>Assumptions!D46</f>
        <v>160670.8532</v>
      </c>
      <c r="F8" s="54">
        <f t="shared" ref="F8:O8" si="10">F$6*$D8</f>
        <v>0</v>
      </c>
      <c r="G8" s="54">
        <f t="shared" si="10"/>
        <v>0</v>
      </c>
      <c r="H8" s="54">
        <f t="shared" si="10"/>
        <v>0</v>
      </c>
      <c r="I8" s="54">
        <f t="shared" si="10"/>
        <v>0</v>
      </c>
      <c r="J8" s="54">
        <f t="shared" si="10"/>
        <v>0</v>
      </c>
      <c r="K8" s="54">
        <f t="shared" si="10"/>
        <v>0</v>
      </c>
      <c r="L8" s="54">
        <f t="shared" si="10"/>
        <v>0</v>
      </c>
      <c r="M8" s="54">
        <f t="shared" si="10"/>
        <v>0</v>
      </c>
      <c r="N8" s="54">
        <f t="shared" si="10"/>
        <v>0</v>
      </c>
      <c r="O8" s="106">
        <f t="shared" si="10"/>
        <v>0</v>
      </c>
      <c r="P8" s="41"/>
      <c r="Q8" s="50" t="s">
        <v>129</v>
      </c>
      <c r="R8" s="68"/>
      <c r="S8" s="59">
        <f t="shared" si="11"/>
        <v>0.08</v>
      </c>
      <c r="T8" s="54">
        <f>Assumptions!L46</f>
        <v>577106.3172</v>
      </c>
      <c r="U8" s="54">
        <f t="shared" ref="U8:AD8" si="12">U$6*$S8</f>
        <v>0</v>
      </c>
      <c r="V8" s="54">
        <f t="shared" si="12"/>
        <v>0</v>
      </c>
      <c r="W8" s="54">
        <f t="shared" si="12"/>
        <v>0</v>
      </c>
      <c r="X8" s="54">
        <f t="shared" si="12"/>
        <v>0</v>
      </c>
      <c r="Y8" s="54">
        <f t="shared" si="12"/>
        <v>0</v>
      </c>
      <c r="Z8" s="54">
        <f t="shared" si="12"/>
        <v>0</v>
      </c>
      <c r="AA8" s="54">
        <f t="shared" si="12"/>
        <v>0</v>
      </c>
      <c r="AB8" s="54">
        <f t="shared" si="12"/>
        <v>0</v>
      </c>
      <c r="AC8" s="54">
        <f t="shared" si="12"/>
        <v>0</v>
      </c>
      <c r="AD8" s="106">
        <f t="shared" si="12"/>
        <v>0</v>
      </c>
      <c r="AE8" s="41"/>
      <c r="AF8" s="50" t="s">
        <v>129</v>
      </c>
      <c r="AG8" s="68"/>
      <c r="AH8" s="59">
        <f t="shared" si="13"/>
        <v>0.08</v>
      </c>
      <c r="AI8" s="54">
        <f>Assumptions!T46</f>
        <v>329593.8331</v>
      </c>
      <c r="AJ8" s="54"/>
      <c r="AK8" s="54"/>
      <c r="AL8" s="54"/>
      <c r="AM8" s="54"/>
      <c r="AN8" s="54"/>
      <c r="AO8" s="54"/>
      <c r="AP8" s="54"/>
      <c r="AQ8" s="54"/>
      <c r="AR8" s="54"/>
      <c r="AS8" s="106"/>
      <c r="AT8" s="41"/>
      <c r="AU8" s="50" t="s">
        <v>129</v>
      </c>
      <c r="AV8" s="68"/>
      <c r="AW8" s="59">
        <f t="shared" si="14"/>
        <v>0.08</v>
      </c>
      <c r="AX8" s="54">
        <f>Assumptions!AB46</f>
        <v>547428.9966</v>
      </c>
      <c r="AY8" s="54">
        <f t="shared" ref="AY8:BH8" si="15">$AW8*AY$6</f>
        <v>0</v>
      </c>
      <c r="AZ8" s="54">
        <f t="shared" si="15"/>
        <v>0</v>
      </c>
      <c r="BA8" s="54">
        <f t="shared" si="15"/>
        <v>0</v>
      </c>
      <c r="BB8" s="54">
        <f t="shared" si="15"/>
        <v>0</v>
      </c>
      <c r="BC8" s="54">
        <f t="shared" si="15"/>
        <v>0</v>
      </c>
      <c r="BD8" s="54">
        <f t="shared" si="15"/>
        <v>0</v>
      </c>
      <c r="BE8" s="54">
        <f t="shared" si="15"/>
        <v>0</v>
      </c>
      <c r="BF8" s="54">
        <f t="shared" si="15"/>
        <v>0</v>
      </c>
      <c r="BG8" s="54">
        <f t="shared" si="15"/>
        <v>0</v>
      </c>
      <c r="BH8" s="106">
        <f t="shared" si="15"/>
        <v>0</v>
      </c>
    </row>
    <row r="9" ht="15.75" customHeight="1">
      <c r="A9" s="41"/>
      <c r="B9" s="103" t="s">
        <v>158</v>
      </c>
      <c r="C9" s="239"/>
      <c r="D9" s="104">
        <f t="shared" si="9"/>
        <v>0.9</v>
      </c>
      <c r="E9" s="211">
        <f>Assumptions!D48</f>
        <v>1807547.098</v>
      </c>
      <c r="F9" s="211">
        <f t="shared" ref="F9:O9" si="16">F$6*$D9</f>
        <v>0</v>
      </c>
      <c r="G9" s="211">
        <f t="shared" si="16"/>
        <v>0</v>
      </c>
      <c r="H9" s="211">
        <f t="shared" si="16"/>
        <v>0</v>
      </c>
      <c r="I9" s="211">
        <f t="shared" si="16"/>
        <v>0</v>
      </c>
      <c r="J9" s="211">
        <f t="shared" si="16"/>
        <v>0</v>
      </c>
      <c r="K9" s="211">
        <f t="shared" si="16"/>
        <v>0</v>
      </c>
      <c r="L9" s="211">
        <f t="shared" si="16"/>
        <v>0</v>
      </c>
      <c r="M9" s="211">
        <f t="shared" si="16"/>
        <v>0</v>
      </c>
      <c r="N9" s="211">
        <f t="shared" si="16"/>
        <v>0</v>
      </c>
      <c r="O9" s="236">
        <f t="shared" si="16"/>
        <v>0</v>
      </c>
      <c r="P9" s="41"/>
      <c r="Q9" s="103" t="s">
        <v>158</v>
      </c>
      <c r="R9" s="240"/>
      <c r="S9" s="104">
        <f t="shared" si="11"/>
        <v>0.9</v>
      </c>
      <c r="T9" s="211">
        <f>Assumptions!L48</f>
        <v>6492446.068</v>
      </c>
      <c r="U9" s="211">
        <f t="shared" ref="U9:AD9" si="17">U$6*$S9</f>
        <v>0</v>
      </c>
      <c r="V9" s="211">
        <f t="shared" si="17"/>
        <v>0</v>
      </c>
      <c r="W9" s="211">
        <f t="shared" si="17"/>
        <v>0</v>
      </c>
      <c r="X9" s="211">
        <f t="shared" si="17"/>
        <v>0</v>
      </c>
      <c r="Y9" s="211">
        <f t="shared" si="17"/>
        <v>0</v>
      </c>
      <c r="Z9" s="211">
        <f t="shared" si="17"/>
        <v>0</v>
      </c>
      <c r="AA9" s="211">
        <f t="shared" si="17"/>
        <v>0</v>
      </c>
      <c r="AB9" s="211">
        <f t="shared" si="17"/>
        <v>0</v>
      </c>
      <c r="AC9" s="211">
        <f t="shared" si="17"/>
        <v>0</v>
      </c>
      <c r="AD9" s="236">
        <f t="shared" si="17"/>
        <v>0</v>
      </c>
      <c r="AE9" s="41"/>
      <c r="AF9" s="103" t="s">
        <v>158</v>
      </c>
      <c r="AG9" s="240"/>
      <c r="AH9" s="104">
        <f t="shared" si="13"/>
        <v>0.9</v>
      </c>
      <c r="AI9" s="211">
        <f>Assumptions!T48</f>
        <v>3707930.622</v>
      </c>
      <c r="AJ9" s="211">
        <f t="shared" ref="AJ9:AS9" si="18">AJ$6*$D9</f>
        <v>0</v>
      </c>
      <c r="AK9" s="211">
        <f t="shared" si="18"/>
        <v>0</v>
      </c>
      <c r="AL9" s="211">
        <f t="shared" si="18"/>
        <v>0</v>
      </c>
      <c r="AM9" s="211">
        <f t="shared" si="18"/>
        <v>0</v>
      </c>
      <c r="AN9" s="211">
        <f t="shared" si="18"/>
        <v>0</v>
      </c>
      <c r="AO9" s="211">
        <f t="shared" si="18"/>
        <v>0</v>
      </c>
      <c r="AP9" s="211">
        <f t="shared" si="18"/>
        <v>0</v>
      </c>
      <c r="AQ9" s="211">
        <f t="shared" si="18"/>
        <v>0</v>
      </c>
      <c r="AR9" s="211">
        <f t="shared" si="18"/>
        <v>0</v>
      </c>
      <c r="AS9" s="236">
        <f t="shared" si="18"/>
        <v>0</v>
      </c>
      <c r="AT9" s="41"/>
      <c r="AU9" s="103" t="s">
        <v>158</v>
      </c>
      <c r="AV9" s="240"/>
      <c r="AW9" s="104">
        <f t="shared" si="14"/>
        <v>0.9</v>
      </c>
      <c r="AX9" s="211">
        <f>Assumptions!AB48</f>
        <v>6158576.212</v>
      </c>
      <c r="AY9" s="211">
        <f t="shared" ref="AY9:BH9" si="19">$AW9*AY$6</f>
        <v>0</v>
      </c>
      <c r="AZ9" s="211">
        <f t="shared" si="19"/>
        <v>0</v>
      </c>
      <c r="BA9" s="211">
        <f t="shared" si="19"/>
        <v>0</v>
      </c>
      <c r="BB9" s="211">
        <f t="shared" si="19"/>
        <v>0</v>
      </c>
      <c r="BC9" s="211">
        <f t="shared" si="19"/>
        <v>0</v>
      </c>
      <c r="BD9" s="211">
        <f t="shared" si="19"/>
        <v>0</v>
      </c>
      <c r="BE9" s="211">
        <f t="shared" si="19"/>
        <v>0</v>
      </c>
      <c r="BF9" s="211">
        <f t="shared" si="19"/>
        <v>0</v>
      </c>
      <c r="BG9" s="211">
        <f t="shared" si="19"/>
        <v>0</v>
      </c>
      <c r="BH9" s="236">
        <f t="shared" si="19"/>
        <v>0</v>
      </c>
    </row>
    <row r="10" ht="15.75" customHeight="1">
      <c r="A10" s="41"/>
      <c r="B10" s="50"/>
      <c r="C10" s="1"/>
      <c r="D10" s="1"/>
      <c r="E10" s="1"/>
      <c r="F10" s="54"/>
      <c r="G10" s="54"/>
      <c r="H10" s="54"/>
      <c r="I10" s="54"/>
      <c r="J10" s="54"/>
      <c r="K10" s="54"/>
      <c r="L10" s="54"/>
      <c r="M10" s="54"/>
      <c r="N10" s="54"/>
      <c r="O10" s="106"/>
      <c r="P10" s="41"/>
      <c r="Q10" s="50"/>
      <c r="R10" s="1"/>
      <c r="S10" s="1"/>
      <c r="T10" s="1"/>
      <c r="U10" s="54"/>
      <c r="V10" s="54"/>
      <c r="W10" s="54"/>
      <c r="X10" s="54"/>
      <c r="Y10" s="54"/>
      <c r="Z10" s="54"/>
      <c r="AA10" s="54"/>
      <c r="AB10" s="54"/>
      <c r="AC10" s="54"/>
      <c r="AD10" s="106"/>
      <c r="AE10" s="41"/>
      <c r="AF10" s="50"/>
      <c r="AG10" s="1"/>
      <c r="AH10" s="1"/>
      <c r="AI10" s="1"/>
      <c r="AJ10" s="54"/>
      <c r="AK10" s="54"/>
      <c r="AL10" s="54"/>
      <c r="AM10" s="54"/>
      <c r="AN10" s="54"/>
      <c r="AO10" s="54"/>
      <c r="AP10" s="54"/>
      <c r="AQ10" s="54"/>
      <c r="AR10" s="54"/>
      <c r="AS10" s="106"/>
      <c r="AT10" s="41"/>
      <c r="AU10" s="50"/>
      <c r="AV10" s="1"/>
      <c r="AW10" s="1"/>
      <c r="AX10" s="1"/>
      <c r="AY10" s="54"/>
      <c r="AZ10" s="54"/>
      <c r="BA10" s="54"/>
      <c r="BB10" s="54"/>
      <c r="BC10" s="54"/>
      <c r="BD10" s="54"/>
      <c r="BE10" s="54"/>
      <c r="BF10" s="54"/>
      <c r="BG10" s="54"/>
      <c r="BH10" s="106"/>
    </row>
    <row r="11" ht="15.75" customHeight="1">
      <c r="A11" s="41"/>
      <c r="B11" s="50"/>
      <c r="C11" s="1"/>
      <c r="D11" s="1"/>
      <c r="E11" s="1"/>
      <c r="F11" s="54"/>
      <c r="G11" s="54"/>
      <c r="H11" s="54"/>
      <c r="I11" s="54"/>
      <c r="J11" s="54"/>
      <c r="K11" s="54"/>
      <c r="L11" s="54"/>
      <c r="M11" s="54"/>
      <c r="N11" s="54"/>
      <c r="O11" s="106"/>
      <c r="P11" s="41"/>
      <c r="Q11" s="50"/>
      <c r="R11" s="1"/>
      <c r="S11" s="1"/>
      <c r="T11" s="1"/>
      <c r="U11" s="54"/>
      <c r="V11" s="54"/>
      <c r="W11" s="54"/>
      <c r="X11" s="54"/>
      <c r="Y11" s="54"/>
      <c r="Z11" s="54"/>
      <c r="AA11" s="54"/>
      <c r="AB11" s="54"/>
      <c r="AC11" s="54"/>
      <c r="AD11" s="106"/>
      <c r="AE11" s="41"/>
      <c r="AF11" s="50"/>
      <c r="AG11" s="1"/>
      <c r="AH11" s="1"/>
      <c r="AI11" s="1"/>
      <c r="AJ11" s="54"/>
      <c r="AK11" s="54"/>
      <c r="AL11" s="54"/>
      <c r="AM11" s="54"/>
      <c r="AN11" s="54"/>
      <c r="AO11" s="54"/>
      <c r="AP11" s="54"/>
      <c r="AQ11" s="54"/>
      <c r="AR11" s="54"/>
      <c r="AS11" s="106"/>
      <c r="AT11" s="41"/>
      <c r="AU11" s="50"/>
      <c r="AV11" s="1"/>
      <c r="AW11" s="1"/>
      <c r="AX11" s="1"/>
      <c r="AY11" s="54"/>
      <c r="AZ11" s="54"/>
      <c r="BA11" s="54"/>
      <c r="BB11" s="54"/>
      <c r="BC11" s="54"/>
      <c r="BD11" s="54"/>
      <c r="BE11" s="54"/>
      <c r="BF11" s="54"/>
      <c r="BG11" s="54"/>
      <c r="BH11" s="106"/>
    </row>
    <row r="12" ht="15.75" customHeight="1">
      <c r="A12" s="41"/>
      <c r="B12" s="76" t="s">
        <v>159</v>
      </c>
      <c r="C12" s="1"/>
      <c r="D12" s="1"/>
      <c r="E12" s="1"/>
      <c r="F12" s="54"/>
      <c r="G12" s="54"/>
      <c r="H12" s="54"/>
      <c r="I12" s="54"/>
      <c r="J12" s="54"/>
      <c r="K12" s="54"/>
      <c r="L12" s="54"/>
      <c r="M12" s="54"/>
      <c r="N12" s="54"/>
      <c r="O12" s="106"/>
      <c r="P12" s="41"/>
      <c r="Q12" s="76" t="s">
        <v>159</v>
      </c>
      <c r="R12" s="1"/>
      <c r="S12" s="1"/>
      <c r="T12" s="1"/>
      <c r="U12" s="54"/>
      <c r="V12" s="54"/>
      <c r="W12" s="54"/>
      <c r="X12" s="54"/>
      <c r="Y12" s="54"/>
      <c r="Z12" s="54"/>
      <c r="AA12" s="54"/>
      <c r="AB12" s="54"/>
      <c r="AC12" s="54"/>
      <c r="AD12" s="106"/>
      <c r="AE12" s="41"/>
      <c r="AF12" s="76" t="s">
        <v>159</v>
      </c>
      <c r="AG12" s="1"/>
      <c r="AH12" s="1"/>
      <c r="AI12" s="1"/>
      <c r="AJ12" s="54"/>
      <c r="AK12" s="54"/>
      <c r="AL12" s="54"/>
      <c r="AM12" s="54"/>
      <c r="AN12" s="54"/>
      <c r="AO12" s="54"/>
      <c r="AP12" s="54"/>
      <c r="AQ12" s="54"/>
      <c r="AR12" s="54"/>
      <c r="AS12" s="106"/>
      <c r="AT12" s="41"/>
      <c r="AU12" s="76" t="s">
        <v>159</v>
      </c>
      <c r="AV12" s="1"/>
      <c r="AW12" s="1"/>
      <c r="AX12" s="1"/>
      <c r="AY12" s="54"/>
      <c r="AZ12" s="54"/>
      <c r="BA12" s="54"/>
      <c r="BB12" s="54"/>
      <c r="BC12" s="54"/>
      <c r="BD12" s="54"/>
      <c r="BE12" s="54"/>
      <c r="BF12" s="54"/>
      <c r="BG12" s="54"/>
      <c r="BH12" s="106"/>
    </row>
    <row r="13" ht="15.75" customHeight="1">
      <c r="A13" s="41"/>
      <c r="B13" s="50" t="s">
        <v>160</v>
      </c>
      <c r="C13" s="1"/>
      <c r="D13" s="1"/>
      <c r="E13" s="1"/>
      <c r="F13" s="54">
        <f>'Proforma Summary'!D47</f>
        <v>350022.4412</v>
      </c>
      <c r="G13" s="54">
        <f>'Proforma Summary'!E47</f>
        <v>404327.3965</v>
      </c>
      <c r="H13" s="54">
        <f>'Proforma Summary'!F47</f>
        <v>416457.2184</v>
      </c>
      <c r="I13" s="54">
        <f>'Proforma Summary'!G47</f>
        <v>162731.8885</v>
      </c>
      <c r="J13" s="54">
        <f>'Proforma Summary'!H47</f>
        <v>175600.4166</v>
      </c>
      <c r="K13" s="54">
        <f>'Proforma Summary'!I47</f>
        <v>188855.0005</v>
      </c>
      <c r="L13" s="54">
        <f>'Proforma Summary'!J47</f>
        <v>202507.2219</v>
      </c>
      <c r="M13" s="54">
        <f>'Proforma Summary'!K47</f>
        <v>216569.0099</v>
      </c>
      <c r="N13" s="54">
        <f>'Proforma Summary'!L47</f>
        <v>231052.6516</v>
      </c>
      <c r="O13" s="106">
        <f>'Proforma Summary'!M47</f>
        <v>245970.8025</v>
      </c>
      <c r="P13" s="114"/>
      <c r="Q13" s="50" t="s">
        <v>160</v>
      </c>
      <c r="R13" s="1"/>
      <c r="S13" s="1"/>
      <c r="T13" s="1"/>
      <c r="U13" s="54">
        <f>'Proforma Summary'!Q47</f>
        <v>1257229.659</v>
      </c>
      <c r="V13" s="54">
        <f>'Proforma Summary'!R47</f>
        <v>1458840.66</v>
      </c>
      <c r="W13" s="54">
        <f>'Proforma Summary'!S47</f>
        <v>1502605.879</v>
      </c>
      <c r="X13" s="54">
        <f>'Proforma Summary'!T47</f>
        <v>591463.9919</v>
      </c>
      <c r="Y13" s="54">
        <f>'Proforma Summary'!U47</f>
        <v>637894.5136</v>
      </c>
      <c r="Z13" s="54">
        <f>'Proforma Summary'!V47</f>
        <v>685717.9509</v>
      </c>
      <c r="AA13" s="54">
        <f>'Proforma Summary'!W47</f>
        <v>734976.0914</v>
      </c>
      <c r="AB13" s="54">
        <f>'Proforma Summary'!X47</f>
        <v>785711.976</v>
      </c>
      <c r="AC13" s="54">
        <f>'Proforma Summary'!Y47</f>
        <v>837969.9372</v>
      </c>
      <c r="AD13" s="106">
        <f>'Proforma Summary'!Z47</f>
        <v>891795.6373</v>
      </c>
      <c r="AE13" s="41"/>
      <c r="AF13" s="50" t="s">
        <v>160</v>
      </c>
      <c r="AG13" s="1"/>
      <c r="AH13" s="1"/>
      <c r="AI13" s="1"/>
      <c r="AJ13" s="54">
        <f>'Proforma Summary'!AD47</f>
        <v>718022.1911</v>
      </c>
      <c r="AK13" s="54">
        <f>'Proforma Summary'!AE47</f>
        <v>837930.479</v>
      </c>
      <c r="AL13" s="54">
        <f>'Proforma Summary'!AF47</f>
        <v>863068.3934</v>
      </c>
      <c r="AM13" s="54">
        <f>'Proforma Summary'!AG47</f>
        <v>342849.2232</v>
      </c>
      <c r="AN13" s="54">
        <f>'Proforma Summary'!AH47</f>
        <v>369518.0366</v>
      </c>
      <c r="AO13" s="54">
        <f>'Proforma Summary'!AI47</f>
        <v>396986.9143</v>
      </c>
      <c r="AP13" s="54">
        <f>'Proforma Summary'!AJ47</f>
        <v>425279.8584</v>
      </c>
      <c r="AQ13" s="54">
        <f>'Proforma Summary'!AK47</f>
        <v>454421.5908</v>
      </c>
      <c r="AR13" s="54">
        <f>'Proforma Summary'!AL47</f>
        <v>484437.5752</v>
      </c>
      <c r="AS13" s="106">
        <f>'Proforma Summary'!AM47</f>
        <v>465293.5267</v>
      </c>
      <c r="AT13" s="41"/>
      <c r="AU13" s="50" t="s">
        <v>160</v>
      </c>
      <c r="AV13" s="1"/>
      <c r="AW13" s="1"/>
      <c r="AX13" s="1"/>
      <c r="AY13" s="54">
        <f>'Proforma Summary'!AQ47</f>
        <v>1192577.434</v>
      </c>
      <c r="AZ13" s="54">
        <f>'Proforma Summary'!AR47</f>
        <v>1393708.199</v>
      </c>
      <c r="BA13" s="54">
        <f>'Proforma Summary'!AS47</f>
        <v>1435519.445</v>
      </c>
      <c r="BB13" s="54">
        <f>'Proforma Summary'!AT47</f>
        <v>571537.9654</v>
      </c>
      <c r="BC13" s="54">
        <f>'Proforma Summary'!AU47</f>
        <v>615895.5163</v>
      </c>
      <c r="BD13" s="54">
        <f>'Proforma Summary'!AV47</f>
        <v>661583.7937</v>
      </c>
      <c r="BE13" s="54">
        <f>'Proforma Summary'!AW47</f>
        <v>708642.7194</v>
      </c>
      <c r="BF13" s="54">
        <f>'Proforma Summary'!AX47</f>
        <v>757113.4128</v>
      </c>
      <c r="BG13" s="54">
        <f>'Proforma Summary'!AY47</f>
        <v>807038.2271</v>
      </c>
      <c r="BH13" s="106">
        <f>'Proforma Summary'!AZ47</f>
        <v>773589.2689</v>
      </c>
    </row>
    <row r="14" ht="15.75" customHeight="1">
      <c r="A14" s="41"/>
      <c r="B14" s="103" t="s">
        <v>161</v>
      </c>
      <c r="C14" s="26"/>
      <c r="D14" s="26"/>
      <c r="E14" s="26"/>
      <c r="F14" s="54">
        <f>'Proforma Summary'!D48</f>
        <v>0</v>
      </c>
      <c r="G14" s="54">
        <f>'Proforma Summary'!E48</f>
        <v>0</v>
      </c>
      <c r="H14" s="54">
        <f>'Proforma Summary'!F48</f>
        <v>0</v>
      </c>
      <c r="I14" s="54">
        <f>'Proforma Summary'!G48</f>
        <v>0</v>
      </c>
      <c r="J14" s="54">
        <f>'Proforma Summary'!H48</f>
        <v>0</v>
      </c>
      <c r="K14" s="54">
        <f>'Proforma Summary'!I48</f>
        <v>0</v>
      </c>
      <c r="L14" s="54">
        <f>'Proforma Summary'!J48</f>
        <v>0</v>
      </c>
      <c r="M14" s="54">
        <f>'Proforma Summary'!K48</f>
        <v>0</v>
      </c>
      <c r="N14" s="54">
        <f>'Proforma Summary'!L48</f>
        <v>0</v>
      </c>
      <c r="O14" s="106">
        <f>'Proforma Summary'!M48</f>
        <v>4796276.921</v>
      </c>
      <c r="P14" s="114"/>
      <c r="Q14" s="103" t="s">
        <v>161</v>
      </c>
      <c r="R14" s="26"/>
      <c r="S14" s="26"/>
      <c r="T14" s="26"/>
      <c r="U14" s="54">
        <f>'Proforma Summary'!Q48</f>
        <v>0</v>
      </c>
      <c r="V14" s="54">
        <f>'Proforma Summary'!R48</f>
        <v>0</v>
      </c>
      <c r="W14" s="54">
        <f>'Proforma Summary'!S48</f>
        <v>0</v>
      </c>
      <c r="X14" s="54">
        <f>'Proforma Summary'!T48</f>
        <v>0</v>
      </c>
      <c r="Y14" s="54">
        <f>'Proforma Summary'!U48</f>
        <v>0</v>
      </c>
      <c r="Z14" s="54">
        <f>'Proforma Summary'!V48</f>
        <v>0</v>
      </c>
      <c r="AA14" s="54">
        <f>'Proforma Summary'!W48</f>
        <v>0</v>
      </c>
      <c r="AB14" s="54">
        <f>'Proforma Summary'!X48</f>
        <v>0</v>
      </c>
      <c r="AC14" s="54">
        <f>'Proforma Summary'!Y48</f>
        <v>0</v>
      </c>
      <c r="AD14" s="106">
        <f>'Proforma Summary'!Z48</f>
        <v>17419454.09</v>
      </c>
      <c r="AE14" s="41"/>
      <c r="AF14" s="103" t="s">
        <v>161</v>
      </c>
      <c r="AG14" s="26"/>
      <c r="AH14" s="26"/>
      <c r="AI14" s="26"/>
      <c r="AJ14" s="54">
        <f>'Proforma Summary'!AD48</f>
        <v>0</v>
      </c>
      <c r="AK14" s="54">
        <f>'Proforma Summary'!AE48</f>
        <v>0</v>
      </c>
      <c r="AL14" s="54">
        <f>'Proforma Summary'!AF48</f>
        <v>0</v>
      </c>
      <c r="AM14" s="54">
        <f>'Proforma Summary'!AG48</f>
        <v>0</v>
      </c>
      <c r="AN14" s="54">
        <f>'Proforma Summary'!AH48</f>
        <v>0</v>
      </c>
      <c r="AO14" s="54">
        <f>'Proforma Summary'!AI48</f>
        <v>0</v>
      </c>
      <c r="AP14" s="54">
        <f>'Proforma Summary'!AJ48</f>
        <v>0</v>
      </c>
      <c r="AQ14" s="54">
        <f>'Proforma Summary'!AK48</f>
        <v>0</v>
      </c>
      <c r="AR14" s="54">
        <f>'Proforma Summary'!AL48</f>
        <v>0</v>
      </c>
      <c r="AS14" s="106">
        <f>'Proforma Summary'!AM48</f>
        <v>10854363.73</v>
      </c>
      <c r="AT14" s="41"/>
      <c r="AU14" s="103" t="s">
        <v>161</v>
      </c>
      <c r="AV14" s="26"/>
      <c r="AW14" s="26"/>
      <c r="AX14" s="26"/>
      <c r="AY14" s="211">
        <f>'Proforma Summary'!AQ48</f>
        <v>0</v>
      </c>
      <c r="AZ14" s="211">
        <f>'Proforma Summary'!AR48</f>
        <v>0</v>
      </c>
      <c r="BA14" s="211">
        <f>'Proforma Summary'!AS48</f>
        <v>0</v>
      </c>
      <c r="BB14" s="211">
        <f>'Proforma Summary'!AT48</f>
        <v>0</v>
      </c>
      <c r="BC14" s="211">
        <f>'Proforma Summary'!AU48</f>
        <v>0</v>
      </c>
      <c r="BD14" s="211">
        <f>'Proforma Summary'!AV48</f>
        <v>0</v>
      </c>
      <c r="BE14" s="211">
        <f>'Proforma Summary'!AW48</f>
        <v>0</v>
      </c>
      <c r="BF14" s="211">
        <f>'Proforma Summary'!AX48</f>
        <v>0</v>
      </c>
      <c r="BG14" s="211">
        <f>'Proforma Summary'!AY48</f>
        <v>0</v>
      </c>
      <c r="BH14" s="236">
        <f>'Proforma Summary'!AZ48</f>
        <v>18070270.61</v>
      </c>
    </row>
    <row r="15" ht="15.75" customHeight="1">
      <c r="A15" s="41"/>
      <c r="B15" s="50" t="s">
        <v>162</v>
      </c>
      <c r="C15" s="1"/>
      <c r="D15" s="1"/>
      <c r="E15" s="1"/>
      <c r="F15" s="207">
        <f t="shared" ref="F15:O15" si="20">SUM(F13:F14)</f>
        <v>350022.4412</v>
      </c>
      <c r="G15" s="207">
        <f t="shared" si="20"/>
        <v>404327.3965</v>
      </c>
      <c r="H15" s="207">
        <f t="shared" si="20"/>
        <v>416457.2184</v>
      </c>
      <c r="I15" s="207">
        <f t="shared" si="20"/>
        <v>162731.8885</v>
      </c>
      <c r="J15" s="207">
        <f t="shared" si="20"/>
        <v>175600.4166</v>
      </c>
      <c r="K15" s="207">
        <f t="shared" si="20"/>
        <v>188855.0005</v>
      </c>
      <c r="L15" s="207">
        <f t="shared" si="20"/>
        <v>202507.2219</v>
      </c>
      <c r="M15" s="207">
        <f t="shared" si="20"/>
        <v>216569.0099</v>
      </c>
      <c r="N15" s="207">
        <f t="shared" si="20"/>
        <v>231052.6516</v>
      </c>
      <c r="O15" s="238">
        <f t="shared" si="20"/>
        <v>5042247.724</v>
      </c>
      <c r="P15" s="41"/>
      <c r="Q15" s="50" t="s">
        <v>162</v>
      </c>
      <c r="R15" s="1"/>
      <c r="S15" s="1"/>
      <c r="T15" s="1"/>
      <c r="U15" s="207">
        <f>'Proforma Summary'!Q49</f>
        <v>1257229.659</v>
      </c>
      <c r="V15" s="207">
        <f>'Proforma Summary'!R49</f>
        <v>1458840.66</v>
      </c>
      <c r="W15" s="207">
        <f>'Proforma Summary'!S49</f>
        <v>1502605.879</v>
      </c>
      <c r="X15" s="207">
        <f>'Proforma Summary'!T49</f>
        <v>591463.9919</v>
      </c>
      <c r="Y15" s="207">
        <f>'Proforma Summary'!U49</f>
        <v>637894.5136</v>
      </c>
      <c r="Z15" s="207">
        <f>'Proforma Summary'!V49</f>
        <v>685717.9509</v>
      </c>
      <c r="AA15" s="207">
        <f>'Proforma Summary'!W49</f>
        <v>734976.0914</v>
      </c>
      <c r="AB15" s="207">
        <f>'Proforma Summary'!X49</f>
        <v>785711.976</v>
      </c>
      <c r="AC15" s="207">
        <f>'Proforma Summary'!Y49</f>
        <v>837969.9372</v>
      </c>
      <c r="AD15" s="238">
        <f>'Proforma Summary'!Z49</f>
        <v>18311249.73</v>
      </c>
      <c r="AE15" s="41"/>
      <c r="AF15" s="50" t="s">
        <v>162</v>
      </c>
      <c r="AG15" s="1"/>
      <c r="AH15" s="1"/>
      <c r="AI15" s="1"/>
      <c r="AJ15" s="207">
        <f t="shared" ref="AJ15:AS15" si="21">SUM(AJ13:AJ14)</f>
        <v>718022.1911</v>
      </c>
      <c r="AK15" s="207">
        <f t="shared" si="21"/>
        <v>837930.479</v>
      </c>
      <c r="AL15" s="207">
        <f t="shared" si="21"/>
        <v>863068.3934</v>
      </c>
      <c r="AM15" s="207">
        <f t="shared" si="21"/>
        <v>342849.2232</v>
      </c>
      <c r="AN15" s="207">
        <f t="shared" si="21"/>
        <v>369518.0366</v>
      </c>
      <c r="AO15" s="207">
        <f t="shared" si="21"/>
        <v>396986.9143</v>
      </c>
      <c r="AP15" s="207">
        <f t="shared" si="21"/>
        <v>425279.8584</v>
      </c>
      <c r="AQ15" s="207">
        <f t="shared" si="21"/>
        <v>454421.5908</v>
      </c>
      <c r="AR15" s="207">
        <f t="shared" si="21"/>
        <v>484437.5752</v>
      </c>
      <c r="AS15" s="238">
        <f t="shared" si="21"/>
        <v>11319657.25</v>
      </c>
      <c r="AT15" s="41"/>
      <c r="AU15" s="50" t="s">
        <v>162</v>
      </c>
      <c r="AV15" s="1"/>
      <c r="AW15" s="1"/>
      <c r="AX15" s="1"/>
      <c r="AY15" s="54">
        <f>'Proforma Summary'!AQ49</f>
        <v>1192577.434</v>
      </c>
      <c r="AZ15" s="54">
        <f>'Proforma Summary'!AR49</f>
        <v>1393708.199</v>
      </c>
      <c r="BA15" s="54">
        <f>'Proforma Summary'!AS49</f>
        <v>1435519.445</v>
      </c>
      <c r="BB15" s="54">
        <f>'Proforma Summary'!AT49</f>
        <v>571537.9654</v>
      </c>
      <c r="BC15" s="54">
        <f>'Proforma Summary'!AU49</f>
        <v>615895.5163</v>
      </c>
      <c r="BD15" s="54">
        <f>'Proforma Summary'!AV49</f>
        <v>661583.7937</v>
      </c>
      <c r="BE15" s="54">
        <f>'Proforma Summary'!AW49</f>
        <v>708642.7194</v>
      </c>
      <c r="BF15" s="54">
        <f>'Proforma Summary'!AX49</f>
        <v>757113.4128</v>
      </c>
      <c r="BG15" s="54">
        <f>'Proforma Summary'!AY49</f>
        <v>807038.2271</v>
      </c>
      <c r="BH15" s="106">
        <f>'Proforma Summary'!AZ49</f>
        <v>18843859.88</v>
      </c>
    </row>
    <row r="16" ht="15.75" customHeight="1">
      <c r="A16" s="41"/>
      <c r="B16" s="50"/>
      <c r="C16" s="1"/>
      <c r="D16" s="1"/>
      <c r="E16" s="1"/>
      <c r="F16" s="54"/>
      <c r="G16" s="54"/>
      <c r="H16" s="54"/>
      <c r="I16" s="54"/>
      <c r="J16" s="54"/>
      <c r="K16" s="54"/>
      <c r="L16" s="54"/>
      <c r="M16" s="54"/>
      <c r="N16" s="54"/>
      <c r="O16" s="106"/>
      <c r="P16" s="41"/>
      <c r="Q16" s="50"/>
      <c r="R16" s="1"/>
      <c r="S16" s="1"/>
      <c r="T16" s="1"/>
      <c r="U16" s="54"/>
      <c r="V16" s="54"/>
      <c r="W16" s="54"/>
      <c r="X16" s="54"/>
      <c r="Y16" s="54"/>
      <c r="Z16" s="54"/>
      <c r="AA16" s="54"/>
      <c r="AB16" s="54"/>
      <c r="AC16" s="54"/>
      <c r="AD16" s="106"/>
      <c r="AE16" s="41"/>
      <c r="AF16" s="50"/>
      <c r="AG16" s="1"/>
      <c r="AH16" s="1"/>
      <c r="AI16" s="1"/>
      <c r="AJ16" s="54"/>
      <c r="AK16" s="54"/>
      <c r="AL16" s="54"/>
      <c r="AM16" s="54"/>
      <c r="AN16" s="54"/>
      <c r="AO16" s="54"/>
      <c r="AP16" s="54"/>
      <c r="AQ16" s="54"/>
      <c r="AR16" s="54"/>
      <c r="AS16" s="106"/>
      <c r="AT16" s="41"/>
      <c r="AU16" s="50"/>
      <c r="AV16" s="1"/>
      <c r="AW16" s="1"/>
      <c r="AX16" s="1"/>
      <c r="AY16" s="54"/>
      <c r="AZ16" s="54"/>
      <c r="BA16" s="54"/>
      <c r="BB16" s="54"/>
      <c r="BC16" s="54"/>
      <c r="BD16" s="54"/>
      <c r="BE16" s="54"/>
      <c r="BF16" s="54"/>
      <c r="BG16" s="54"/>
      <c r="BH16" s="106"/>
    </row>
    <row r="17" ht="15.75" customHeight="1">
      <c r="A17" s="41"/>
      <c r="B17" s="76" t="s">
        <v>163</v>
      </c>
      <c r="C17" s="1"/>
      <c r="D17" s="127" t="s">
        <v>164</v>
      </c>
      <c r="E17" s="1"/>
      <c r="F17" s="54"/>
      <c r="G17" s="54"/>
      <c r="H17" s="54"/>
      <c r="I17" s="54"/>
      <c r="J17" s="54"/>
      <c r="K17" s="54"/>
      <c r="L17" s="54"/>
      <c r="M17" s="54"/>
      <c r="N17" s="54"/>
      <c r="O17" s="106"/>
      <c r="P17" s="41"/>
      <c r="Q17" s="76" t="s">
        <v>163</v>
      </c>
      <c r="R17" s="1"/>
      <c r="S17" s="127" t="s">
        <v>164</v>
      </c>
      <c r="T17" s="1"/>
      <c r="U17" s="54"/>
      <c r="V17" s="54"/>
      <c r="W17" s="54"/>
      <c r="X17" s="54"/>
      <c r="Y17" s="54"/>
      <c r="Z17" s="54"/>
      <c r="AA17" s="54"/>
      <c r="AB17" s="54"/>
      <c r="AC17" s="54"/>
      <c r="AD17" s="106"/>
      <c r="AE17" s="41"/>
      <c r="AF17" s="76" t="s">
        <v>163</v>
      </c>
      <c r="AG17" s="1"/>
      <c r="AH17" s="127" t="s">
        <v>164</v>
      </c>
      <c r="AI17" s="1"/>
      <c r="AJ17" s="54"/>
      <c r="AK17" s="54"/>
      <c r="AL17" s="54"/>
      <c r="AM17" s="54"/>
      <c r="AN17" s="54"/>
      <c r="AO17" s="54"/>
      <c r="AP17" s="54"/>
      <c r="AQ17" s="54"/>
      <c r="AR17" s="54"/>
      <c r="AS17" s="106"/>
      <c r="AT17" s="41"/>
      <c r="AU17" s="76" t="s">
        <v>163</v>
      </c>
      <c r="AV17" s="1"/>
      <c r="AW17" s="127" t="s">
        <v>164</v>
      </c>
      <c r="AX17" s="1"/>
      <c r="AY17" s="54"/>
      <c r="AZ17" s="54"/>
      <c r="BA17" s="54"/>
      <c r="BB17" s="54"/>
      <c r="BC17" s="54"/>
      <c r="BD17" s="54"/>
      <c r="BE17" s="54"/>
      <c r="BF17" s="54"/>
      <c r="BG17" s="54"/>
      <c r="BH17" s="106"/>
    </row>
    <row r="18" ht="15.75" customHeight="1">
      <c r="A18" s="41"/>
      <c r="B18" s="50" t="str">
        <f>Assumptions!B72</f>
        <v>Pre-hurdle</v>
      </c>
      <c r="C18" s="1"/>
      <c r="D18" s="59">
        <f>Assumptions!$F72*Assumptions!$C$45</f>
        <v>0.02</v>
      </c>
      <c r="E18" s="1"/>
      <c r="F18" s="54">
        <f t="shared" ref="F18:O18" si="22">F32/$D32*$D18</f>
        <v>7000.448823</v>
      </c>
      <c r="G18" s="54">
        <f t="shared" si="22"/>
        <v>8086.54793</v>
      </c>
      <c r="H18" s="54">
        <f t="shared" si="22"/>
        <v>8329.144368</v>
      </c>
      <c r="I18" s="54">
        <f t="shared" si="22"/>
        <v>3254.63777</v>
      </c>
      <c r="J18" s="54">
        <f t="shared" si="22"/>
        <v>3512.008331</v>
      </c>
      <c r="K18" s="54">
        <f t="shared" si="22"/>
        <v>3777.100009</v>
      </c>
      <c r="L18" s="54">
        <f t="shared" si="22"/>
        <v>4050.144437</v>
      </c>
      <c r="M18" s="54">
        <f t="shared" si="22"/>
        <v>4331.380198</v>
      </c>
      <c r="N18" s="54">
        <f t="shared" si="22"/>
        <v>4621.053032</v>
      </c>
      <c r="O18" s="106">
        <f t="shared" si="22"/>
        <v>21445.79501</v>
      </c>
      <c r="P18" s="41"/>
      <c r="Q18" s="50" t="s">
        <v>130</v>
      </c>
      <c r="R18" s="1"/>
      <c r="S18" s="59">
        <f>Assumptions!$N72*Assumptions!$K$45</f>
        <v>0.02</v>
      </c>
      <c r="T18" s="1"/>
      <c r="U18" s="54">
        <f t="shared" ref="U18:AD18" si="23">U32/$S32*$S18</f>
        <v>25144.59318</v>
      </c>
      <c r="V18" s="54">
        <f t="shared" si="23"/>
        <v>29176.81319</v>
      </c>
      <c r="W18" s="54">
        <f t="shared" si="23"/>
        <v>30052.11759</v>
      </c>
      <c r="X18" s="54">
        <f t="shared" si="23"/>
        <v>11829.27984</v>
      </c>
      <c r="Y18" s="54">
        <f t="shared" si="23"/>
        <v>12757.89027</v>
      </c>
      <c r="Z18" s="54">
        <f t="shared" si="23"/>
        <v>13714.35902</v>
      </c>
      <c r="AA18" s="54">
        <f t="shared" si="23"/>
        <v>14699.52183</v>
      </c>
      <c r="AB18" s="54">
        <f t="shared" si="23"/>
        <v>15714.23952</v>
      </c>
      <c r="AC18" s="54">
        <f t="shared" si="23"/>
        <v>16759.39874</v>
      </c>
      <c r="AD18" s="106">
        <f t="shared" si="23"/>
        <v>75223.66286</v>
      </c>
      <c r="AE18" s="41"/>
      <c r="AF18" s="50" t="s">
        <v>130</v>
      </c>
      <c r="AG18" s="1"/>
      <c r="AH18" s="59">
        <f>Assumptions!$V72*Assumptions!$S$45</f>
        <v>0.02</v>
      </c>
      <c r="AI18" s="1"/>
      <c r="AJ18" s="54">
        <f t="shared" ref="AJ18:AS18" si="24">AJ32/$AH32*$AH18</f>
        <v>14360.44382</v>
      </c>
      <c r="AK18" s="54">
        <f t="shared" si="24"/>
        <v>16758.60958</v>
      </c>
      <c r="AL18" s="54">
        <f t="shared" si="24"/>
        <v>17261.36787</v>
      </c>
      <c r="AM18" s="54">
        <f t="shared" si="24"/>
        <v>6856.984465</v>
      </c>
      <c r="AN18" s="54">
        <f t="shared" si="24"/>
        <v>7390.360732</v>
      </c>
      <c r="AO18" s="54">
        <f t="shared" si="24"/>
        <v>7939.738287</v>
      </c>
      <c r="AP18" s="54">
        <f t="shared" si="24"/>
        <v>8505.597169</v>
      </c>
      <c r="AQ18" s="54">
        <f t="shared" si="24"/>
        <v>9088.431817</v>
      </c>
      <c r="AR18" s="54">
        <f t="shared" si="24"/>
        <v>9688.751505</v>
      </c>
      <c r="AS18" s="106">
        <f t="shared" si="24"/>
        <v>41648.14787</v>
      </c>
      <c r="AT18" s="41"/>
      <c r="AU18" s="50" t="s">
        <v>130</v>
      </c>
      <c r="AV18" s="1"/>
      <c r="AW18" s="59">
        <f>Assumptions!$AD72*Assumptions!$AA$45</f>
        <v>0.02</v>
      </c>
      <c r="AX18" s="1"/>
      <c r="AY18" s="54">
        <f t="shared" ref="AY18:BH18" si="25">AY32/$D32*$D18</f>
        <v>23851.54868</v>
      </c>
      <c r="AZ18" s="54">
        <f t="shared" si="25"/>
        <v>27874.16398</v>
      </c>
      <c r="BA18" s="54">
        <f t="shared" si="25"/>
        <v>28710.3889</v>
      </c>
      <c r="BB18" s="54">
        <f t="shared" si="25"/>
        <v>11430.75931</v>
      </c>
      <c r="BC18" s="54">
        <f t="shared" si="25"/>
        <v>12317.91033</v>
      </c>
      <c r="BD18" s="54">
        <f t="shared" si="25"/>
        <v>13231.67587</v>
      </c>
      <c r="BE18" s="54">
        <f t="shared" si="25"/>
        <v>14172.85439</v>
      </c>
      <c r="BF18" s="54">
        <f t="shared" si="25"/>
        <v>15142.26826</v>
      </c>
      <c r="BG18" s="54">
        <f t="shared" si="25"/>
        <v>16140.76454</v>
      </c>
      <c r="BH18" s="106">
        <f t="shared" si="25"/>
        <v>68630.62559</v>
      </c>
    </row>
    <row r="19" ht="15.75" customHeight="1">
      <c r="A19" s="41"/>
      <c r="B19" s="50" t="str">
        <f>Assumptions!B73</f>
        <v>1st hurdle</v>
      </c>
      <c r="C19" s="1"/>
      <c r="D19" s="59">
        <f>Assumptions!$F73*Assumptions!$C$45</f>
        <v>0.02</v>
      </c>
      <c r="E19" s="1"/>
      <c r="F19" s="54">
        <f t="shared" ref="F19:O19" si="26">F33/$D33*$D19</f>
        <v>0</v>
      </c>
      <c r="G19" s="54">
        <f t="shared" si="26"/>
        <v>0</v>
      </c>
      <c r="H19" s="54">
        <f t="shared" si="26"/>
        <v>0</v>
      </c>
      <c r="I19" s="54">
        <f t="shared" si="26"/>
        <v>0</v>
      </c>
      <c r="J19" s="54">
        <f t="shared" si="26"/>
        <v>0</v>
      </c>
      <c r="K19" s="54">
        <f t="shared" si="26"/>
        <v>0</v>
      </c>
      <c r="L19" s="54">
        <f t="shared" si="26"/>
        <v>0</v>
      </c>
      <c r="M19" s="54">
        <f t="shared" si="26"/>
        <v>0</v>
      </c>
      <c r="N19" s="54">
        <f t="shared" si="26"/>
        <v>0</v>
      </c>
      <c r="O19" s="106">
        <f t="shared" si="26"/>
        <v>10605.34936</v>
      </c>
      <c r="P19" s="41"/>
      <c r="Q19" s="50" t="s">
        <v>131</v>
      </c>
      <c r="R19" s="1"/>
      <c r="S19" s="59">
        <f>Assumptions!$N73*Assumptions!$K$45</f>
        <v>0.02</v>
      </c>
      <c r="T19" s="1"/>
      <c r="U19" s="54">
        <f t="shared" ref="U19:AD19" si="27">U33/$S33*$S19</f>
        <v>0</v>
      </c>
      <c r="V19" s="54">
        <f t="shared" si="27"/>
        <v>0</v>
      </c>
      <c r="W19" s="54">
        <f t="shared" si="27"/>
        <v>0</v>
      </c>
      <c r="X19" s="54">
        <f t="shared" si="27"/>
        <v>0</v>
      </c>
      <c r="Y19" s="54">
        <f t="shared" si="27"/>
        <v>0</v>
      </c>
      <c r="Z19" s="54">
        <f t="shared" si="27"/>
        <v>0</v>
      </c>
      <c r="AA19" s="54">
        <f t="shared" si="27"/>
        <v>0</v>
      </c>
      <c r="AB19" s="54">
        <f t="shared" si="27"/>
        <v>0</v>
      </c>
      <c r="AC19" s="54">
        <f t="shared" si="27"/>
        <v>0</v>
      </c>
      <c r="AD19" s="106">
        <f t="shared" si="27"/>
        <v>37926.47197</v>
      </c>
      <c r="AE19" s="41"/>
      <c r="AF19" s="50" t="s">
        <v>131</v>
      </c>
      <c r="AG19" s="1"/>
      <c r="AH19" s="59">
        <f>Assumptions!$V73*Assumptions!$S$45</f>
        <v>0.02</v>
      </c>
      <c r="AI19" s="1"/>
      <c r="AJ19" s="54">
        <f t="shared" ref="AJ19:AS19" si="28">AJ33/$AH33*$AH19</f>
        <v>0</v>
      </c>
      <c r="AK19" s="54">
        <f t="shared" si="28"/>
        <v>0</v>
      </c>
      <c r="AL19" s="54">
        <f t="shared" si="28"/>
        <v>0</v>
      </c>
      <c r="AM19" s="54">
        <f t="shared" si="28"/>
        <v>0</v>
      </c>
      <c r="AN19" s="54">
        <f t="shared" si="28"/>
        <v>0</v>
      </c>
      <c r="AO19" s="54">
        <f t="shared" si="28"/>
        <v>0</v>
      </c>
      <c r="AP19" s="54">
        <f t="shared" si="28"/>
        <v>0</v>
      </c>
      <c r="AQ19" s="54">
        <f t="shared" si="28"/>
        <v>0</v>
      </c>
      <c r="AR19" s="54">
        <f t="shared" si="28"/>
        <v>0</v>
      </c>
      <c r="AS19" s="106">
        <f t="shared" si="28"/>
        <v>21539.40283</v>
      </c>
      <c r="AT19" s="41"/>
      <c r="AU19" s="50" t="s">
        <v>131</v>
      </c>
      <c r="AV19" s="1"/>
      <c r="AW19" s="59">
        <f>Assumptions!$AD73*Assumptions!$AA$45</f>
        <v>0.02</v>
      </c>
      <c r="AX19" s="1"/>
      <c r="AY19" s="54">
        <f t="shared" ref="AY19:BH19" si="29">AY33/$D33*$D19</f>
        <v>0</v>
      </c>
      <c r="AZ19" s="54">
        <f t="shared" si="29"/>
        <v>0</v>
      </c>
      <c r="BA19" s="54">
        <f t="shared" si="29"/>
        <v>0</v>
      </c>
      <c r="BB19" s="54">
        <f t="shared" si="29"/>
        <v>0</v>
      </c>
      <c r="BC19" s="54">
        <f t="shared" si="29"/>
        <v>0</v>
      </c>
      <c r="BD19" s="54">
        <f t="shared" si="29"/>
        <v>0</v>
      </c>
      <c r="BE19" s="54">
        <f t="shared" si="29"/>
        <v>0</v>
      </c>
      <c r="BF19" s="54">
        <f t="shared" si="29"/>
        <v>0</v>
      </c>
      <c r="BG19" s="54">
        <f t="shared" si="29"/>
        <v>0</v>
      </c>
      <c r="BH19" s="106">
        <f t="shared" si="29"/>
        <v>35725.15242</v>
      </c>
    </row>
    <row r="20" ht="15.75" customHeight="1">
      <c r="A20" s="41"/>
      <c r="B20" s="50" t="str">
        <f>Assumptions!B74</f>
        <v>2nd hurdle</v>
      </c>
      <c r="C20" s="1"/>
      <c r="D20" s="59">
        <f>Assumptions!$F74*Assumptions!$C$45</f>
        <v>0.04</v>
      </c>
      <c r="E20" s="1"/>
      <c r="F20" s="54">
        <f t="shared" ref="F20:O20" si="30">F34/$D34*$D20</f>
        <v>0</v>
      </c>
      <c r="G20" s="54">
        <f t="shared" si="30"/>
        <v>0</v>
      </c>
      <c r="H20" s="54">
        <f t="shared" si="30"/>
        <v>0</v>
      </c>
      <c r="I20" s="54">
        <f t="shared" si="30"/>
        <v>0</v>
      </c>
      <c r="J20" s="54">
        <f t="shared" si="30"/>
        <v>0</v>
      </c>
      <c r="K20" s="54">
        <f t="shared" si="30"/>
        <v>0</v>
      </c>
      <c r="L20" s="54">
        <f t="shared" si="30"/>
        <v>0</v>
      </c>
      <c r="M20" s="54">
        <f t="shared" si="30"/>
        <v>0</v>
      </c>
      <c r="N20" s="54">
        <f t="shared" si="30"/>
        <v>0</v>
      </c>
      <c r="O20" s="106">
        <f t="shared" si="30"/>
        <v>29254.97428</v>
      </c>
      <c r="P20" s="41"/>
      <c r="Q20" s="50" t="s">
        <v>132</v>
      </c>
      <c r="R20" s="1"/>
      <c r="S20" s="59">
        <f>Assumptions!$N74*Assumptions!$K$45</f>
        <v>0.04</v>
      </c>
      <c r="T20" s="1"/>
      <c r="U20" s="54">
        <f t="shared" ref="U20:AD20" si="31">U34/$S34*$S20</f>
        <v>0</v>
      </c>
      <c r="V20" s="54">
        <f t="shared" si="31"/>
        <v>0</v>
      </c>
      <c r="W20" s="54">
        <f t="shared" si="31"/>
        <v>0</v>
      </c>
      <c r="X20" s="54">
        <f t="shared" si="31"/>
        <v>0</v>
      </c>
      <c r="Y20" s="54">
        <f t="shared" si="31"/>
        <v>0</v>
      </c>
      <c r="Z20" s="54">
        <f t="shared" si="31"/>
        <v>0</v>
      </c>
      <c r="AA20" s="54">
        <f t="shared" si="31"/>
        <v>0</v>
      </c>
      <c r="AB20" s="54">
        <f t="shared" si="31"/>
        <v>0</v>
      </c>
      <c r="AC20" s="54">
        <f t="shared" si="31"/>
        <v>0</v>
      </c>
      <c r="AD20" s="106">
        <f t="shared" si="31"/>
        <v>104670.4215</v>
      </c>
      <c r="AE20" s="41"/>
      <c r="AF20" s="50" t="s">
        <v>132</v>
      </c>
      <c r="AG20" s="1"/>
      <c r="AH20" s="59">
        <f>Assumptions!$V74*Assumptions!$S$45</f>
        <v>0.04</v>
      </c>
      <c r="AI20" s="1"/>
      <c r="AJ20" s="54">
        <f t="shared" ref="AJ20:AS20" si="32">AJ34/$AH34*$AH20</f>
        <v>0</v>
      </c>
      <c r="AK20" s="54">
        <f t="shared" si="32"/>
        <v>0</v>
      </c>
      <c r="AL20" s="54">
        <f t="shared" si="32"/>
        <v>0</v>
      </c>
      <c r="AM20" s="54">
        <f t="shared" si="32"/>
        <v>0</v>
      </c>
      <c r="AN20" s="54">
        <f t="shared" si="32"/>
        <v>0</v>
      </c>
      <c r="AO20" s="54">
        <f t="shared" si="32"/>
        <v>0</v>
      </c>
      <c r="AP20" s="54">
        <f t="shared" si="32"/>
        <v>0</v>
      </c>
      <c r="AQ20" s="54">
        <f t="shared" si="32"/>
        <v>0</v>
      </c>
      <c r="AR20" s="54">
        <f t="shared" si="32"/>
        <v>0</v>
      </c>
      <c r="AS20" s="106">
        <f t="shared" si="32"/>
        <v>59481.35869</v>
      </c>
      <c r="AT20" s="41"/>
      <c r="AU20" s="50" t="s">
        <v>132</v>
      </c>
      <c r="AV20" s="1"/>
      <c r="AW20" s="59">
        <f>Assumptions!$AD74*Assumptions!$AA$45</f>
        <v>0.04</v>
      </c>
      <c r="AX20" s="1"/>
      <c r="AY20" s="54">
        <f t="shared" ref="AY20:BH20" si="33">AY34/$D34*$D20</f>
        <v>0</v>
      </c>
      <c r="AZ20" s="54">
        <f t="shared" si="33"/>
        <v>0</v>
      </c>
      <c r="BA20" s="54">
        <f t="shared" si="33"/>
        <v>0</v>
      </c>
      <c r="BB20" s="54">
        <f t="shared" si="33"/>
        <v>0</v>
      </c>
      <c r="BC20" s="54">
        <f t="shared" si="33"/>
        <v>0</v>
      </c>
      <c r="BD20" s="54">
        <f t="shared" si="33"/>
        <v>0</v>
      </c>
      <c r="BE20" s="54">
        <f t="shared" si="33"/>
        <v>0</v>
      </c>
      <c r="BF20" s="54">
        <f t="shared" si="33"/>
        <v>0</v>
      </c>
      <c r="BG20" s="54">
        <f t="shared" si="33"/>
        <v>0</v>
      </c>
      <c r="BH20" s="106">
        <f t="shared" si="33"/>
        <v>98670.64645</v>
      </c>
    </row>
    <row r="21" ht="15.75" customHeight="1">
      <c r="A21" s="41"/>
      <c r="B21" s="103" t="str">
        <f>Assumptions!B75</f>
        <v>Thereafter</v>
      </c>
      <c r="C21" s="26"/>
      <c r="D21" s="104">
        <f>Assumptions!$F75*Assumptions!$C$45</f>
        <v>0.07</v>
      </c>
      <c r="E21" s="26"/>
      <c r="F21" s="211">
        <f t="shared" ref="F21:O21" si="34">F35/$D35*$D21</f>
        <v>0</v>
      </c>
      <c r="G21" s="211">
        <f t="shared" si="34"/>
        <v>0</v>
      </c>
      <c r="H21" s="211">
        <f t="shared" si="34"/>
        <v>0</v>
      </c>
      <c r="I21" s="211">
        <f t="shared" si="34"/>
        <v>0</v>
      </c>
      <c r="J21" s="211">
        <f t="shared" si="34"/>
        <v>0</v>
      </c>
      <c r="K21" s="211">
        <f t="shared" si="34"/>
        <v>0</v>
      </c>
      <c r="L21" s="211">
        <f t="shared" si="34"/>
        <v>0</v>
      </c>
      <c r="M21" s="211">
        <f t="shared" si="34"/>
        <v>0</v>
      </c>
      <c r="N21" s="211">
        <f t="shared" si="34"/>
        <v>0</v>
      </c>
      <c r="O21" s="236">
        <f t="shared" si="34"/>
        <v>189582.1304</v>
      </c>
      <c r="P21" s="41"/>
      <c r="Q21" s="103" t="s">
        <v>133</v>
      </c>
      <c r="R21" s="26"/>
      <c r="S21" s="104">
        <f>Assumptions!$N75*Assumptions!$K$45</f>
        <v>0.07</v>
      </c>
      <c r="T21" s="26"/>
      <c r="U21" s="54">
        <f t="shared" ref="U21:AD21" si="35">U35/$S35*$S21</f>
        <v>0</v>
      </c>
      <c r="V21" s="54">
        <f t="shared" si="35"/>
        <v>0</v>
      </c>
      <c r="W21" s="54">
        <f t="shared" si="35"/>
        <v>0</v>
      </c>
      <c r="X21" s="54">
        <f t="shared" si="35"/>
        <v>0</v>
      </c>
      <c r="Y21" s="54">
        <f t="shared" si="35"/>
        <v>0</v>
      </c>
      <c r="Z21" s="54">
        <f t="shared" si="35"/>
        <v>0</v>
      </c>
      <c r="AA21" s="54">
        <f t="shared" si="35"/>
        <v>0</v>
      </c>
      <c r="AB21" s="54">
        <f t="shared" si="35"/>
        <v>0</v>
      </c>
      <c r="AC21" s="54">
        <f t="shared" si="35"/>
        <v>0</v>
      </c>
      <c r="AD21" s="106">
        <f t="shared" si="35"/>
        <v>702588.7715</v>
      </c>
      <c r="AE21" s="41"/>
      <c r="AF21" s="103" t="s">
        <v>133</v>
      </c>
      <c r="AG21" s="26"/>
      <c r="AH21" s="104">
        <f>Assumptions!$V75*Assumptions!$S$45</f>
        <v>0.07</v>
      </c>
      <c r="AI21" s="26"/>
      <c r="AJ21" s="54">
        <f t="shared" ref="AJ21:AS21" si="36">AJ35/$AH35*$AH21</f>
        <v>0</v>
      </c>
      <c r="AK21" s="54">
        <f t="shared" si="36"/>
        <v>0</v>
      </c>
      <c r="AL21" s="54">
        <f t="shared" si="36"/>
        <v>0</v>
      </c>
      <c r="AM21" s="54">
        <f t="shared" si="36"/>
        <v>0</v>
      </c>
      <c r="AN21" s="54">
        <f t="shared" si="36"/>
        <v>0</v>
      </c>
      <c r="AO21" s="54">
        <f t="shared" si="36"/>
        <v>0</v>
      </c>
      <c r="AP21" s="54">
        <f t="shared" si="36"/>
        <v>0</v>
      </c>
      <c r="AQ21" s="54">
        <f t="shared" si="36"/>
        <v>0</v>
      </c>
      <c r="AR21" s="54">
        <f t="shared" si="36"/>
        <v>0</v>
      </c>
      <c r="AS21" s="106">
        <f t="shared" si="36"/>
        <v>467127.2026</v>
      </c>
      <c r="AT21" s="41"/>
      <c r="AU21" s="103" t="s">
        <v>133</v>
      </c>
      <c r="AV21" s="26"/>
      <c r="AW21" s="104">
        <f>Assumptions!$AD75*Assumptions!$AA$45</f>
        <v>0.07</v>
      </c>
      <c r="AX21" s="26"/>
      <c r="AY21" s="211">
        <f t="shared" ref="AY21:BH21" si="37">AY35/$D35*$D21</f>
        <v>0</v>
      </c>
      <c r="AZ21" s="211">
        <f t="shared" si="37"/>
        <v>0</v>
      </c>
      <c r="BA21" s="211">
        <f t="shared" si="37"/>
        <v>0</v>
      </c>
      <c r="BB21" s="211">
        <f t="shared" si="37"/>
        <v>0</v>
      </c>
      <c r="BC21" s="211">
        <f t="shared" si="37"/>
        <v>0</v>
      </c>
      <c r="BD21" s="211">
        <f t="shared" si="37"/>
        <v>0</v>
      </c>
      <c r="BE21" s="211">
        <f t="shared" si="37"/>
        <v>0</v>
      </c>
      <c r="BF21" s="211">
        <f t="shared" si="37"/>
        <v>0</v>
      </c>
      <c r="BG21" s="211">
        <f t="shared" si="37"/>
        <v>0</v>
      </c>
      <c r="BH21" s="236">
        <f t="shared" si="37"/>
        <v>781151.3369</v>
      </c>
    </row>
    <row r="22" ht="15.75" customHeight="1">
      <c r="A22" s="41"/>
      <c r="B22" s="46" t="s">
        <v>165</v>
      </c>
      <c r="C22" s="47"/>
      <c r="D22" s="47"/>
      <c r="E22" s="47"/>
      <c r="F22" s="213">
        <f t="shared" ref="F22:O22" si="38">SUM(F18:F21)</f>
        <v>7000.448823</v>
      </c>
      <c r="G22" s="213">
        <f t="shared" si="38"/>
        <v>8086.54793</v>
      </c>
      <c r="H22" s="213">
        <f t="shared" si="38"/>
        <v>8329.144368</v>
      </c>
      <c r="I22" s="213">
        <f t="shared" si="38"/>
        <v>3254.63777</v>
      </c>
      <c r="J22" s="213">
        <f t="shared" si="38"/>
        <v>3512.008331</v>
      </c>
      <c r="K22" s="213">
        <f t="shared" si="38"/>
        <v>3777.100009</v>
      </c>
      <c r="L22" s="213">
        <f t="shared" si="38"/>
        <v>4050.144437</v>
      </c>
      <c r="M22" s="213">
        <f t="shared" si="38"/>
        <v>4331.380198</v>
      </c>
      <c r="N22" s="213">
        <f t="shared" si="38"/>
        <v>4621.053032</v>
      </c>
      <c r="O22" s="241">
        <f t="shared" si="38"/>
        <v>250888.249</v>
      </c>
      <c r="P22" s="41"/>
      <c r="Q22" s="46" t="s">
        <v>165</v>
      </c>
      <c r="R22" s="47"/>
      <c r="S22" s="47"/>
      <c r="T22" s="47"/>
      <c r="U22" s="213">
        <f t="shared" ref="U22:AD22" si="39">SUM(U18:U21)</f>
        <v>25144.59318</v>
      </c>
      <c r="V22" s="213">
        <f t="shared" si="39"/>
        <v>29176.81319</v>
      </c>
      <c r="W22" s="213">
        <f t="shared" si="39"/>
        <v>30052.11759</v>
      </c>
      <c r="X22" s="213">
        <f t="shared" si="39"/>
        <v>11829.27984</v>
      </c>
      <c r="Y22" s="213">
        <f t="shared" si="39"/>
        <v>12757.89027</v>
      </c>
      <c r="Z22" s="213">
        <f t="shared" si="39"/>
        <v>13714.35902</v>
      </c>
      <c r="AA22" s="213">
        <f t="shared" si="39"/>
        <v>14699.52183</v>
      </c>
      <c r="AB22" s="213">
        <f t="shared" si="39"/>
        <v>15714.23952</v>
      </c>
      <c r="AC22" s="213">
        <f t="shared" si="39"/>
        <v>16759.39874</v>
      </c>
      <c r="AD22" s="241">
        <f t="shared" si="39"/>
        <v>920409.3278</v>
      </c>
      <c r="AE22" s="41"/>
      <c r="AF22" s="46" t="s">
        <v>165</v>
      </c>
      <c r="AG22" s="47"/>
      <c r="AH22" s="47"/>
      <c r="AI22" s="47"/>
      <c r="AJ22" s="213">
        <f t="shared" ref="AJ22:AS22" si="40">SUM(AJ18:AJ21)</f>
        <v>14360.44382</v>
      </c>
      <c r="AK22" s="213">
        <f t="shared" si="40"/>
        <v>16758.60958</v>
      </c>
      <c r="AL22" s="213">
        <f t="shared" si="40"/>
        <v>17261.36787</v>
      </c>
      <c r="AM22" s="213">
        <f t="shared" si="40"/>
        <v>6856.984465</v>
      </c>
      <c r="AN22" s="213">
        <f t="shared" si="40"/>
        <v>7390.360732</v>
      </c>
      <c r="AO22" s="213">
        <f t="shared" si="40"/>
        <v>7939.738287</v>
      </c>
      <c r="AP22" s="213">
        <f t="shared" si="40"/>
        <v>8505.597169</v>
      </c>
      <c r="AQ22" s="213">
        <f t="shared" si="40"/>
        <v>9088.431817</v>
      </c>
      <c r="AR22" s="213">
        <f t="shared" si="40"/>
        <v>9688.751505</v>
      </c>
      <c r="AS22" s="241">
        <f t="shared" si="40"/>
        <v>589796.112</v>
      </c>
      <c r="AT22" s="41"/>
      <c r="AU22" s="46" t="s">
        <v>165</v>
      </c>
      <c r="AV22" s="47"/>
      <c r="AW22" s="47"/>
      <c r="AX22" s="47"/>
      <c r="AY22" s="213">
        <f t="shared" ref="AY22:BH22" si="41">SUM(AY18:AY21)</f>
        <v>23851.54868</v>
      </c>
      <c r="AZ22" s="213">
        <f t="shared" si="41"/>
        <v>27874.16398</v>
      </c>
      <c r="BA22" s="213">
        <f t="shared" si="41"/>
        <v>28710.3889</v>
      </c>
      <c r="BB22" s="213">
        <f t="shared" si="41"/>
        <v>11430.75931</v>
      </c>
      <c r="BC22" s="213">
        <f t="shared" si="41"/>
        <v>12317.91033</v>
      </c>
      <c r="BD22" s="213">
        <f t="shared" si="41"/>
        <v>13231.67587</v>
      </c>
      <c r="BE22" s="213">
        <f t="shared" si="41"/>
        <v>14172.85439</v>
      </c>
      <c r="BF22" s="213">
        <f t="shared" si="41"/>
        <v>15142.26826</v>
      </c>
      <c r="BG22" s="213">
        <f t="shared" si="41"/>
        <v>16140.76454</v>
      </c>
      <c r="BH22" s="241">
        <f t="shared" si="41"/>
        <v>984177.7614</v>
      </c>
    </row>
    <row r="23" ht="15.75" customHeight="1">
      <c r="A23" s="41"/>
      <c r="B23" s="50"/>
      <c r="C23" s="1"/>
      <c r="D23" s="1"/>
      <c r="E23" s="1"/>
      <c r="F23" s="54"/>
      <c r="G23" s="54"/>
      <c r="H23" s="54"/>
      <c r="I23" s="54"/>
      <c r="J23" s="54"/>
      <c r="K23" s="54"/>
      <c r="L23" s="54"/>
      <c r="M23" s="54"/>
      <c r="N23" s="54"/>
      <c r="O23" s="106"/>
      <c r="P23" s="41"/>
      <c r="Q23" s="50"/>
      <c r="R23" s="1"/>
      <c r="S23" s="1"/>
      <c r="T23" s="1"/>
      <c r="U23" s="54"/>
      <c r="V23" s="54"/>
      <c r="W23" s="54"/>
      <c r="X23" s="54"/>
      <c r="Y23" s="54"/>
      <c r="Z23" s="54"/>
      <c r="AA23" s="54"/>
      <c r="AB23" s="54"/>
      <c r="AC23" s="54"/>
      <c r="AD23" s="106"/>
      <c r="AE23" s="41"/>
      <c r="AF23" s="50"/>
      <c r="AG23" s="1"/>
      <c r="AH23" s="1"/>
      <c r="AI23" s="1"/>
      <c r="AJ23" s="54"/>
      <c r="AK23" s="54"/>
      <c r="AL23" s="54"/>
      <c r="AM23" s="54"/>
      <c r="AN23" s="54"/>
      <c r="AO23" s="54"/>
      <c r="AP23" s="54"/>
      <c r="AQ23" s="54"/>
      <c r="AR23" s="54"/>
      <c r="AS23" s="106"/>
      <c r="AT23" s="41"/>
      <c r="AU23" s="50"/>
      <c r="AV23" s="1"/>
      <c r="AW23" s="1"/>
      <c r="AX23" s="1"/>
      <c r="AY23" s="54"/>
      <c r="AZ23" s="54"/>
      <c r="BA23" s="54"/>
      <c r="BB23" s="54"/>
      <c r="BC23" s="54"/>
      <c r="BD23" s="54"/>
      <c r="BE23" s="54"/>
      <c r="BF23" s="54"/>
      <c r="BG23" s="54"/>
      <c r="BH23" s="106"/>
    </row>
    <row r="24" ht="15.75" customHeight="1">
      <c r="A24" s="41"/>
      <c r="B24" s="76" t="s">
        <v>166</v>
      </c>
      <c r="C24" s="1"/>
      <c r="D24" s="127" t="s">
        <v>164</v>
      </c>
      <c r="E24" s="1"/>
      <c r="F24" s="54"/>
      <c r="G24" s="54"/>
      <c r="H24" s="54"/>
      <c r="I24" s="54"/>
      <c r="J24" s="54"/>
      <c r="K24" s="54"/>
      <c r="L24" s="54"/>
      <c r="M24" s="54"/>
      <c r="N24" s="54"/>
      <c r="O24" s="106"/>
      <c r="P24" s="41"/>
      <c r="Q24" s="76" t="s">
        <v>166</v>
      </c>
      <c r="R24" s="1"/>
      <c r="S24" s="127" t="s">
        <v>164</v>
      </c>
      <c r="T24" s="1"/>
      <c r="U24" s="54"/>
      <c r="V24" s="54"/>
      <c r="W24" s="54"/>
      <c r="X24" s="54"/>
      <c r="Y24" s="54"/>
      <c r="Z24" s="54"/>
      <c r="AA24" s="54"/>
      <c r="AB24" s="54"/>
      <c r="AC24" s="54"/>
      <c r="AD24" s="106"/>
      <c r="AE24" s="41"/>
      <c r="AF24" s="76" t="s">
        <v>166</v>
      </c>
      <c r="AG24" s="1"/>
      <c r="AH24" s="127" t="s">
        <v>164</v>
      </c>
      <c r="AI24" s="1"/>
      <c r="AJ24" s="54"/>
      <c r="AK24" s="54"/>
      <c r="AL24" s="54"/>
      <c r="AM24" s="54"/>
      <c r="AN24" s="54"/>
      <c r="AO24" s="54"/>
      <c r="AP24" s="54"/>
      <c r="AQ24" s="54"/>
      <c r="AR24" s="54"/>
      <c r="AS24" s="106"/>
      <c r="AT24" s="41"/>
      <c r="AU24" s="76" t="s">
        <v>166</v>
      </c>
      <c r="AV24" s="1"/>
      <c r="AW24" s="127" t="s">
        <v>164</v>
      </c>
      <c r="AX24" s="1"/>
      <c r="AY24" s="54"/>
      <c r="AZ24" s="54"/>
      <c r="BA24" s="54"/>
      <c r="BB24" s="54"/>
      <c r="BC24" s="54"/>
      <c r="BD24" s="54"/>
      <c r="BE24" s="54"/>
      <c r="BF24" s="54"/>
      <c r="BG24" s="54"/>
      <c r="BH24" s="106"/>
    </row>
    <row r="25" ht="15.75" customHeight="1">
      <c r="A25" s="41"/>
      <c r="B25" s="50" t="s">
        <v>130</v>
      </c>
      <c r="C25" s="1"/>
      <c r="D25" s="59">
        <f>Assumptions!G72*Assumptions!$C$46</f>
        <v>0.08</v>
      </c>
      <c r="E25" s="1"/>
      <c r="F25" s="54">
        <f t="shared" ref="F25:O25" si="42">F32/$D32*$D25</f>
        <v>28001.79529</v>
      </c>
      <c r="G25" s="54">
        <f t="shared" si="42"/>
        <v>32346.19172</v>
      </c>
      <c r="H25" s="54">
        <f t="shared" si="42"/>
        <v>33316.57747</v>
      </c>
      <c r="I25" s="54">
        <f t="shared" si="42"/>
        <v>13018.55108</v>
      </c>
      <c r="J25" s="54">
        <f t="shared" si="42"/>
        <v>14048.03333</v>
      </c>
      <c r="K25" s="54">
        <f t="shared" si="42"/>
        <v>15108.40004</v>
      </c>
      <c r="L25" s="54">
        <f t="shared" si="42"/>
        <v>16200.57775</v>
      </c>
      <c r="M25" s="54">
        <f t="shared" si="42"/>
        <v>17325.52079</v>
      </c>
      <c r="N25" s="54">
        <f t="shared" si="42"/>
        <v>18484.21213</v>
      </c>
      <c r="O25" s="106">
        <f t="shared" si="42"/>
        <v>85783.18003</v>
      </c>
      <c r="P25" s="41"/>
      <c r="Q25" s="50" t="s">
        <v>130</v>
      </c>
      <c r="R25" s="1"/>
      <c r="S25" s="59">
        <f>Assumptions!O72*Assumptions!$K$46</f>
        <v>0.08</v>
      </c>
      <c r="T25" s="1"/>
      <c r="U25" s="54">
        <f t="shared" ref="U25:AD25" si="43">U32/$S32*$S25</f>
        <v>100578.3727</v>
      </c>
      <c r="V25" s="54">
        <f t="shared" si="43"/>
        <v>116707.2528</v>
      </c>
      <c r="W25" s="54">
        <f t="shared" si="43"/>
        <v>120208.4703</v>
      </c>
      <c r="X25" s="54">
        <f t="shared" si="43"/>
        <v>47317.11935</v>
      </c>
      <c r="Y25" s="54">
        <f t="shared" si="43"/>
        <v>51031.56109</v>
      </c>
      <c r="Z25" s="54">
        <f t="shared" si="43"/>
        <v>54857.43607</v>
      </c>
      <c r="AA25" s="54">
        <f t="shared" si="43"/>
        <v>58798.08731</v>
      </c>
      <c r="AB25" s="54">
        <f t="shared" si="43"/>
        <v>62856.95808</v>
      </c>
      <c r="AC25" s="54">
        <f t="shared" si="43"/>
        <v>67037.59498</v>
      </c>
      <c r="AD25" s="106">
        <f t="shared" si="43"/>
        <v>300894.6515</v>
      </c>
      <c r="AE25" s="41"/>
      <c r="AF25" s="50" t="s">
        <v>130</v>
      </c>
      <c r="AG25" s="1"/>
      <c r="AH25" s="59">
        <f>Assumptions!W72*Assumptions!$S$46</f>
        <v>0.08</v>
      </c>
      <c r="AI25" s="1"/>
      <c r="AJ25" s="54">
        <f t="shared" ref="AJ25:AS25" si="44">AJ32/$AH32*$AH25</f>
        <v>57441.77529</v>
      </c>
      <c r="AK25" s="54">
        <f t="shared" si="44"/>
        <v>67034.43832</v>
      </c>
      <c r="AL25" s="54">
        <f t="shared" si="44"/>
        <v>69045.47147</v>
      </c>
      <c r="AM25" s="54">
        <f t="shared" si="44"/>
        <v>27427.93786</v>
      </c>
      <c r="AN25" s="54">
        <f t="shared" si="44"/>
        <v>29561.44293</v>
      </c>
      <c r="AO25" s="54">
        <f t="shared" si="44"/>
        <v>31758.95315</v>
      </c>
      <c r="AP25" s="54">
        <f t="shared" si="44"/>
        <v>34022.38867</v>
      </c>
      <c r="AQ25" s="54">
        <f t="shared" si="44"/>
        <v>36353.72727</v>
      </c>
      <c r="AR25" s="54">
        <f t="shared" si="44"/>
        <v>38755.00602</v>
      </c>
      <c r="AS25" s="106">
        <f t="shared" si="44"/>
        <v>166592.5915</v>
      </c>
      <c r="AT25" s="41"/>
      <c r="AU25" s="50" t="s">
        <v>130</v>
      </c>
      <c r="AV25" s="1"/>
      <c r="AW25" s="59">
        <f>Assumptions!AE72*Assumptions!$AA$46</f>
        <v>0.08</v>
      </c>
      <c r="AX25" s="1"/>
      <c r="AY25" s="54">
        <f t="shared" ref="AY25:BH25" si="45">AY32/$D32*$D25</f>
        <v>95406.19471</v>
      </c>
      <c r="AZ25" s="54">
        <f t="shared" si="45"/>
        <v>111496.6559</v>
      </c>
      <c r="BA25" s="54">
        <f t="shared" si="45"/>
        <v>114841.5556</v>
      </c>
      <c r="BB25" s="54">
        <f t="shared" si="45"/>
        <v>45723.03723</v>
      </c>
      <c r="BC25" s="54">
        <f t="shared" si="45"/>
        <v>49271.6413</v>
      </c>
      <c r="BD25" s="54">
        <f t="shared" si="45"/>
        <v>52926.70349</v>
      </c>
      <c r="BE25" s="54">
        <f t="shared" si="45"/>
        <v>56691.41755</v>
      </c>
      <c r="BF25" s="54">
        <f t="shared" si="45"/>
        <v>60569.07303</v>
      </c>
      <c r="BG25" s="54">
        <f t="shared" si="45"/>
        <v>64563.05817</v>
      </c>
      <c r="BH25" s="106">
        <f t="shared" si="45"/>
        <v>274522.5024</v>
      </c>
    </row>
    <row r="26" ht="15.75" customHeight="1">
      <c r="A26" s="41"/>
      <c r="B26" s="50" t="s">
        <v>131</v>
      </c>
      <c r="C26" s="1"/>
      <c r="D26" s="59">
        <f>Assumptions!G73*Assumptions!$C$46</f>
        <v>0.08</v>
      </c>
      <c r="E26" s="1"/>
      <c r="F26" s="54">
        <f t="shared" ref="F26:O26" si="46">F33/$D33*$D26</f>
        <v>0</v>
      </c>
      <c r="G26" s="54">
        <f t="shared" si="46"/>
        <v>0</v>
      </c>
      <c r="H26" s="54">
        <f t="shared" si="46"/>
        <v>0</v>
      </c>
      <c r="I26" s="54">
        <f t="shared" si="46"/>
        <v>0</v>
      </c>
      <c r="J26" s="54">
        <f t="shared" si="46"/>
        <v>0</v>
      </c>
      <c r="K26" s="54">
        <f t="shared" si="46"/>
        <v>0</v>
      </c>
      <c r="L26" s="54">
        <f t="shared" si="46"/>
        <v>0</v>
      </c>
      <c r="M26" s="54">
        <f t="shared" si="46"/>
        <v>0</v>
      </c>
      <c r="N26" s="54">
        <f t="shared" si="46"/>
        <v>0</v>
      </c>
      <c r="O26" s="106">
        <f t="shared" si="46"/>
        <v>42421.39745</v>
      </c>
      <c r="P26" s="41"/>
      <c r="Q26" s="50" t="s">
        <v>131</v>
      </c>
      <c r="R26" s="1"/>
      <c r="S26" s="59">
        <f>Assumptions!O73*Assumptions!$K$46</f>
        <v>0.08</v>
      </c>
      <c r="T26" s="1"/>
      <c r="U26" s="54">
        <f t="shared" ref="U26:AD26" si="47">U33/$S33*$S26</f>
        <v>0</v>
      </c>
      <c r="V26" s="54">
        <f t="shared" si="47"/>
        <v>0</v>
      </c>
      <c r="W26" s="54">
        <f t="shared" si="47"/>
        <v>0</v>
      </c>
      <c r="X26" s="54">
        <f t="shared" si="47"/>
        <v>0</v>
      </c>
      <c r="Y26" s="54">
        <f t="shared" si="47"/>
        <v>0</v>
      </c>
      <c r="Z26" s="54">
        <f t="shared" si="47"/>
        <v>0</v>
      </c>
      <c r="AA26" s="54">
        <f t="shared" si="47"/>
        <v>0</v>
      </c>
      <c r="AB26" s="54">
        <f t="shared" si="47"/>
        <v>0</v>
      </c>
      <c r="AC26" s="54">
        <f t="shared" si="47"/>
        <v>0</v>
      </c>
      <c r="AD26" s="106">
        <f t="shared" si="47"/>
        <v>151705.8879</v>
      </c>
      <c r="AE26" s="41"/>
      <c r="AF26" s="50" t="s">
        <v>131</v>
      </c>
      <c r="AG26" s="1"/>
      <c r="AH26" s="59">
        <f>Assumptions!W73*Assumptions!$S$46</f>
        <v>0.08</v>
      </c>
      <c r="AI26" s="1"/>
      <c r="AJ26" s="54">
        <f t="shared" ref="AJ26:AS26" si="48">AJ33/$AH33*$AH26</f>
        <v>0</v>
      </c>
      <c r="AK26" s="54">
        <f t="shared" si="48"/>
        <v>0</v>
      </c>
      <c r="AL26" s="54">
        <f t="shared" si="48"/>
        <v>0</v>
      </c>
      <c r="AM26" s="54">
        <f t="shared" si="48"/>
        <v>0</v>
      </c>
      <c r="AN26" s="54">
        <f t="shared" si="48"/>
        <v>0</v>
      </c>
      <c r="AO26" s="54">
        <f t="shared" si="48"/>
        <v>0</v>
      </c>
      <c r="AP26" s="54">
        <f t="shared" si="48"/>
        <v>0</v>
      </c>
      <c r="AQ26" s="54">
        <f t="shared" si="48"/>
        <v>0</v>
      </c>
      <c r="AR26" s="54">
        <f t="shared" si="48"/>
        <v>0</v>
      </c>
      <c r="AS26" s="106">
        <f t="shared" si="48"/>
        <v>86157.61133</v>
      </c>
      <c r="AT26" s="41"/>
      <c r="AU26" s="50" t="s">
        <v>131</v>
      </c>
      <c r="AV26" s="1"/>
      <c r="AW26" s="59">
        <f>Assumptions!AE73*Assumptions!$AA$46</f>
        <v>0.08</v>
      </c>
      <c r="AX26" s="1"/>
      <c r="AY26" s="54">
        <f t="shared" ref="AY26:BH26" si="49">AY33/$D33*$D26</f>
        <v>0</v>
      </c>
      <c r="AZ26" s="54">
        <f t="shared" si="49"/>
        <v>0</v>
      </c>
      <c r="BA26" s="54">
        <f t="shared" si="49"/>
        <v>0</v>
      </c>
      <c r="BB26" s="54">
        <f t="shared" si="49"/>
        <v>0</v>
      </c>
      <c r="BC26" s="54">
        <f t="shared" si="49"/>
        <v>0</v>
      </c>
      <c r="BD26" s="54">
        <f t="shared" si="49"/>
        <v>0</v>
      </c>
      <c r="BE26" s="54">
        <f t="shared" si="49"/>
        <v>0</v>
      </c>
      <c r="BF26" s="54">
        <f t="shared" si="49"/>
        <v>0</v>
      </c>
      <c r="BG26" s="54">
        <f t="shared" si="49"/>
        <v>0</v>
      </c>
      <c r="BH26" s="106">
        <f t="shared" si="49"/>
        <v>142900.6097</v>
      </c>
    </row>
    <row r="27" ht="15.75" customHeight="1">
      <c r="A27" s="41"/>
      <c r="B27" s="50" t="s">
        <v>132</v>
      </c>
      <c r="C27" s="1"/>
      <c r="D27" s="59">
        <f>Assumptions!G74*Assumptions!$C$46</f>
        <v>0.16</v>
      </c>
      <c r="E27" s="1"/>
      <c r="F27" s="54">
        <f t="shared" ref="F27:O27" si="50">F34/$D34*$D27</f>
        <v>0</v>
      </c>
      <c r="G27" s="54">
        <f t="shared" si="50"/>
        <v>0</v>
      </c>
      <c r="H27" s="54">
        <f t="shared" si="50"/>
        <v>0</v>
      </c>
      <c r="I27" s="54">
        <f t="shared" si="50"/>
        <v>0</v>
      </c>
      <c r="J27" s="54">
        <f t="shared" si="50"/>
        <v>0</v>
      </c>
      <c r="K27" s="54">
        <f t="shared" si="50"/>
        <v>0</v>
      </c>
      <c r="L27" s="54">
        <f t="shared" si="50"/>
        <v>0</v>
      </c>
      <c r="M27" s="54">
        <f t="shared" si="50"/>
        <v>0</v>
      </c>
      <c r="N27" s="54">
        <f t="shared" si="50"/>
        <v>0</v>
      </c>
      <c r="O27" s="106">
        <f t="shared" si="50"/>
        <v>117019.8971</v>
      </c>
      <c r="P27" s="41"/>
      <c r="Q27" s="50" t="s">
        <v>132</v>
      </c>
      <c r="R27" s="1"/>
      <c r="S27" s="59">
        <f>Assumptions!O74*Assumptions!$K$46</f>
        <v>0.16</v>
      </c>
      <c r="T27" s="1"/>
      <c r="U27" s="54">
        <f t="shared" ref="U27:AD27" si="51">U34/$S34*$S27</f>
        <v>0</v>
      </c>
      <c r="V27" s="54">
        <f t="shared" si="51"/>
        <v>0</v>
      </c>
      <c r="W27" s="54">
        <f t="shared" si="51"/>
        <v>0</v>
      </c>
      <c r="X27" s="54">
        <f t="shared" si="51"/>
        <v>0</v>
      </c>
      <c r="Y27" s="54">
        <f t="shared" si="51"/>
        <v>0</v>
      </c>
      <c r="Z27" s="54">
        <f t="shared" si="51"/>
        <v>0</v>
      </c>
      <c r="AA27" s="54">
        <f t="shared" si="51"/>
        <v>0</v>
      </c>
      <c r="AB27" s="54">
        <f t="shared" si="51"/>
        <v>0</v>
      </c>
      <c r="AC27" s="54">
        <f t="shared" si="51"/>
        <v>0</v>
      </c>
      <c r="AD27" s="106">
        <f t="shared" si="51"/>
        <v>418681.6861</v>
      </c>
      <c r="AE27" s="41"/>
      <c r="AF27" s="50" t="s">
        <v>132</v>
      </c>
      <c r="AG27" s="1"/>
      <c r="AH27" s="59">
        <f>Assumptions!W74*Assumptions!$S$46</f>
        <v>0.16</v>
      </c>
      <c r="AI27" s="1"/>
      <c r="AJ27" s="54">
        <f t="shared" ref="AJ27:AS27" si="52">AJ34/$AH34*$AH27</f>
        <v>0</v>
      </c>
      <c r="AK27" s="54">
        <f t="shared" si="52"/>
        <v>0</v>
      </c>
      <c r="AL27" s="54">
        <f t="shared" si="52"/>
        <v>0</v>
      </c>
      <c r="AM27" s="54">
        <f t="shared" si="52"/>
        <v>0</v>
      </c>
      <c r="AN27" s="54">
        <f t="shared" si="52"/>
        <v>0</v>
      </c>
      <c r="AO27" s="54">
        <f t="shared" si="52"/>
        <v>0</v>
      </c>
      <c r="AP27" s="54">
        <f t="shared" si="52"/>
        <v>0</v>
      </c>
      <c r="AQ27" s="54">
        <f t="shared" si="52"/>
        <v>0</v>
      </c>
      <c r="AR27" s="54">
        <f t="shared" si="52"/>
        <v>0</v>
      </c>
      <c r="AS27" s="106">
        <f t="shared" si="52"/>
        <v>237925.4348</v>
      </c>
      <c r="AT27" s="41"/>
      <c r="AU27" s="50" t="s">
        <v>132</v>
      </c>
      <c r="AV27" s="1"/>
      <c r="AW27" s="59">
        <f>Assumptions!AE74*Assumptions!$AA$46</f>
        <v>0.16</v>
      </c>
      <c r="AX27" s="1"/>
      <c r="AY27" s="54">
        <f t="shared" ref="AY27:BH27" si="53">AY34/$D34*$D27</f>
        <v>0</v>
      </c>
      <c r="AZ27" s="54">
        <f t="shared" si="53"/>
        <v>0</v>
      </c>
      <c r="BA27" s="54">
        <f t="shared" si="53"/>
        <v>0</v>
      </c>
      <c r="BB27" s="54">
        <f t="shared" si="53"/>
        <v>0</v>
      </c>
      <c r="BC27" s="54">
        <f t="shared" si="53"/>
        <v>0</v>
      </c>
      <c r="BD27" s="54">
        <f t="shared" si="53"/>
        <v>0</v>
      </c>
      <c r="BE27" s="54">
        <f t="shared" si="53"/>
        <v>0</v>
      </c>
      <c r="BF27" s="54">
        <f t="shared" si="53"/>
        <v>0</v>
      </c>
      <c r="BG27" s="54">
        <f t="shared" si="53"/>
        <v>0</v>
      </c>
      <c r="BH27" s="106">
        <f t="shared" si="53"/>
        <v>394682.5858</v>
      </c>
    </row>
    <row r="28" ht="15.75" customHeight="1">
      <c r="A28" s="41"/>
      <c r="B28" s="103" t="s">
        <v>133</v>
      </c>
      <c r="C28" s="26"/>
      <c r="D28" s="104">
        <f>Assumptions!G75*Assumptions!$C$46</f>
        <v>0.28</v>
      </c>
      <c r="E28" s="26"/>
      <c r="F28" s="54">
        <f t="shared" ref="F28:O28" si="54">F35/$D35*$D28</f>
        <v>0</v>
      </c>
      <c r="G28" s="54">
        <f t="shared" si="54"/>
        <v>0</v>
      </c>
      <c r="H28" s="54">
        <f t="shared" si="54"/>
        <v>0</v>
      </c>
      <c r="I28" s="54">
        <f t="shared" si="54"/>
        <v>0</v>
      </c>
      <c r="J28" s="54">
        <f t="shared" si="54"/>
        <v>0</v>
      </c>
      <c r="K28" s="54">
        <f t="shared" si="54"/>
        <v>0</v>
      </c>
      <c r="L28" s="54">
        <f t="shared" si="54"/>
        <v>0</v>
      </c>
      <c r="M28" s="54">
        <f t="shared" si="54"/>
        <v>0</v>
      </c>
      <c r="N28" s="54">
        <f t="shared" si="54"/>
        <v>0</v>
      </c>
      <c r="O28" s="106">
        <f t="shared" si="54"/>
        <v>758328.5214</v>
      </c>
      <c r="P28" s="41"/>
      <c r="Q28" s="103" t="s">
        <v>133</v>
      </c>
      <c r="R28" s="26"/>
      <c r="S28" s="104">
        <f>Assumptions!O75*Assumptions!$K$46</f>
        <v>0.28</v>
      </c>
      <c r="T28" s="26"/>
      <c r="U28" s="54">
        <f t="shared" ref="U28:AD28" si="55">U35/$S35*$S28</f>
        <v>0</v>
      </c>
      <c r="V28" s="54">
        <f t="shared" si="55"/>
        <v>0</v>
      </c>
      <c r="W28" s="54">
        <f t="shared" si="55"/>
        <v>0</v>
      </c>
      <c r="X28" s="54">
        <f t="shared" si="55"/>
        <v>0</v>
      </c>
      <c r="Y28" s="54">
        <f t="shared" si="55"/>
        <v>0</v>
      </c>
      <c r="Z28" s="54">
        <f t="shared" si="55"/>
        <v>0</v>
      </c>
      <c r="AA28" s="54">
        <f t="shared" si="55"/>
        <v>0</v>
      </c>
      <c r="AB28" s="54">
        <f t="shared" si="55"/>
        <v>0</v>
      </c>
      <c r="AC28" s="54">
        <f t="shared" si="55"/>
        <v>0</v>
      </c>
      <c r="AD28" s="106">
        <f t="shared" si="55"/>
        <v>2810355.086</v>
      </c>
      <c r="AE28" s="41"/>
      <c r="AF28" s="103" t="s">
        <v>133</v>
      </c>
      <c r="AG28" s="26"/>
      <c r="AH28" s="104">
        <f>Assumptions!W75*Assumptions!$S$46</f>
        <v>0.28</v>
      </c>
      <c r="AI28" s="26"/>
      <c r="AJ28" s="54">
        <f t="shared" ref="AJ28:AS28" si="56">AJ35/$AH35*$AH28</f>
        <v>0</v>
      </c>
      <c r="AK28" s="54">
        <f t="shared" si="56"/>
        <v>0</v>
      </c>
      <c r="AL28" s="54">
        <f t="shared" si="56"/>
        <v>0</v>
      </c>
      <c r="AM28" s="54">
        <f t="shared" si="56"/>
        <v>0</v>
      </c>
      <c r="AN28" s="54">
        <f t="shared" si="56"/>
        <v>0</v>
      </c>
      <c r="AO28" s="54">
        <f t="shared" si="56"/>
        <v>0</v>
      </c>
      <c r="AP28" s="54">
        <f t="shared" si="56"/>
        <v>0</v>
      </c>
      <c r="AQ28" s="54">
        <f t="shared" si="56"/>
        <v>0</v>
      </c>
      <c r="AR28" s="54">
        <f t="shared" si="56"/>
        <v>0</v>
      </c>
      <c r="AS28" s="106">
        <f t="shared" si="56"/>
        <v>1868508.811</v>
      </c>
      <c r="AT28" s="41"/>
      <c r="AU28" s="103" t="s">
        <v>133</v>
      </c>
      <c r="AV28" s="26"/>
      <c r="AW28" s="104">
        <f>Assumptions!AE75*Assumptions!$AA$46</f>
        <v>0.28</v>
      </c>
      <c r="AX28" s="26"/>
      <c r="AY28" s="54">
        <f t="shared" ref="AY28:BH28" si="57">AY35/$D35*$D28</f>
        <v>0</v>
      </c>
      <c r="AZ28" s="54">
        <f t="shared" si="57"/>
        <v>0</v>
      </c>
      <c r="BA28" s="54">
        <f t="shared" si="57"/>
        <v>0</v>
      </c>
      <c r="BB28" s="54">
        <f t="shared" si="57"/>
        <v>0</v>
      </c>
      <c r="BC28" s="54">
        <f t="shared" si="57"/>
        <v>0</v>
      </c>
      <c r="BD28" s="54">
        <f t="shared" si="57"/>
        <v>0</v>
      </c>
      <c r="BE28" s="54">
        <f t="shared" si="57"/>
        <v>0</v>
      </c>
      <c r="BF28" s="54">
        <f t="shared" si="57"/>
        <v>0</v>
      </c>
      <c r="BG28" s="54">
        <f t="shared" si="57"/>
        <v>0</v>
      </c>
      <c r="BH28" s="106">
        <f t="shared" si="57"/>
        <v>3124605.348</v>
      </c>
    </row>
    <row r="29" ht="15.75" customHeight="1">
      <c r="A29" s="41"/>
      <c r="B29" s="46" t="s">
        <v>167</v>
      </c>
      <c r="C29" s="47"/>
      <c r="D29" s="47"/>
      <c r="E29" s="47"/>
      <c r="F29" s="213">
        <f t="shared" ref="F29:O29" si="58">SUM(F25:F28)</f>
        <v>28001.79529</v>
      </c>
      <c r="G29" s="213">
        <f t="shared" si="58"/>
        <v>32346.19172</v>
      </c>
      <c r="H29" s="213">
        <f t="shared" si="58"/>
        <v>33316.57747</v>
      </c>
      <c r="I29" s="213">
        <f t="shared" si="58"/>
        <v>13018.55108</v>
      </c>
      <c r="J29" s="213">
        <f t="shared" si="58"/>
        <v>14048.03333</v>
      </c>
      <c r="K29" s="213">
        <f t="shared" si="58"/>
        <v>15108.40004</v>
      </c>
      <c r="L29" s="213">
        <f t="shared" si="58"/>
        <v>16200.57775</v>
      </c>
      <c r="M29" s="213">
        <f t="shared" si="58"/>
        <v>17325.52079</v>
      </c>
      <c r="N29" s="213">
        <f t="shared" si="58"/>
        <v>18484.21213</v>
      </c>
      <c r="O29" s="241">
        <f t="shared" si="58"/>
        <v>1003552.996</v>
      </c>
      <c r="P29" s="41"/>
      <c r="Q29" s="46" t="s">
        <v>167</v>
      </c>
      <c r="R29" s="47"/>
      <c r="S29" s="47"/>
      <c r="T29" s="47"/>
      <c r="U29" s="213">
        <f t="shared" ref="U29:AD29" si="59">SUM(U25:U28)</f>
        <v>100578.3727</v>
      </c>
      <c r="V29" s="213">
        <f t="shared" si="59"/>
        <v>116707.2528</v>
      </c>
      <c r="W29" s="213">
        <f t="shared" si="59"/>
        <v>120208.4703</v>
      </c>
      <c r="X29" s="213">
        <f t="shared" si="59"/>
        <v>47317.11935</v>
      </c>
      <c r="Y29" s="213">
        <f t="shared" si="59"/>
        <v>51031.56109</v>
      </c>
      <c r="Z29" s="213">
        <f t="shared" si="59"/>
        <v>54857.43607</v>
      </c>
      <c r="AA29" s="213">
        <f t="shared" si="59"/>
        <v>58798.08731</v>
      </c>
      <c r="AB29" s="213">
        <f t="shared" si="59"/>
        <v>62856.95808</v>
      </c>
      <c r="AC29" s="213">
        <f t="shared" si="59"/>
        <v>67037.59498</v>
      </c>
      <c r="AD29" s="241">
        <f t="shared" si="59"/>
        <v>3681637.311</v>
      </c>
      <c r="AE29" s="41"/>
      <c r="AF29" s="46" t="s">
        <v>167</v>
      </c>
      <c r="AG29" s="47"/>
      <c r="AH29" s="47"/>
      <c r="AI29" s="47"/>
      <c r="AJ29" s="213">
        <f t="shared" ref="AJ29:AS29" si="60">SUM(AJ25:AJ28)</f>
        <v>57441.77529</v>
      </c>
      <c r="AK29" s="213">
        <f t="shared" si="60"/>
        <v>67034.43832</v>
      </c>
      <c r="AL29" s="213">
        <f t="shared" si="60"/>
        <v>69045.47147</v>
      </c>
      <c r="AM29" s="213">
        <f t="shared" si="60"/>
        <v>27427.93786</v>
      </c>
      <c r="AN29" s="213">
        <f t="shared" si="60"/>
        <v>29561.44293</v>
      </c>
      <c r="AO29" s="213">
        <f t="shared" si="60"/>
        <v>31758.95315</v>
      </c>
      <c r="AP29" s="213">
        <f t="shared" si="60"/>
        <v>34022.38867</v>
      </c>
      <c r="AQ29" s="213">
        <f t="shared" si="60"/>
        <v>36353.72727</v>
      </c>
      <c r="AR29" s="213">
        <f t="shared" si="60"/>
        <v>38755.00602</v>
      </c>
      <c r="AS29" s="241">
        <f t="shared" si="60"/>
        <v>2359184.448</v>
      </c>
      <c r="AT29" s="41"/>
      <c r="AU29" s="46" t="s">
        <v>167</v>
      </c>
      <c r="AV29" s="47"/>
      <c r="AW29" s="47"/>
      <c r="AX29" s="47"/>
      <c r="AY29" s="213">
        <f t="shared" ref="AY29:BH29" si="61">SUM(AY25:AY28)</f>
        <v>95406.19471</v>
      </c>
      <c r="AZ29" s="213">
        <f t="shared" si="61"/>
        <v>111496.6559</v>
      </c>
      <c r="BA29" s="213">
        <f t="shared" si="61"/>
        <v>114841.5556</v>
      </c>
      <c r="BB29" s="213">
        <f t="shared" si="61"/>
        <v>45723.03723</v>
      </c>
      <c r="BC29" s="213">
        <f t="shared" si="61"/>
        <v>49271.6413</v>
      </c>
      <c r="BD29" s="213">
        <f t="shared" si="61"/>
        <v>52926.70349</v>
      </c>
      <c r="BE29" s="213">
        <f t="shared" si="61"/>
        <v>56691.41755</v>
      </c>
      <c r="BF29" s="213">
        <f t="shared" si="61"/>
        <v>60569.07303</v>
      </c>
      <c r="BG29" s="213">
        <f t="shared" si="61"/>
        <v>64563.05817</v>
      </c>
      <c r="BH29" s="241">
        <f t="shared" si="61"/>
        <v>3936711.046</v>
      </c>
    </row>
    <row r="30" ht="15.75" customHeight="1">
      <c r="A30" s="41"/>
      <c r="B30" s="50"/>
      <c r="C30" s="1"/>
      <c r="D30" s="1"/>
      <c r="E30" s="1"/>
      <c r="F30" s="54"/>
      <c r="G30" s="54"/>
      <c r="H30" s="54"/>
      <c r="I30" s="54"/>
      <c r="J30" s="54"/>
      <c r="K30" s="54"/>
      <c r="L30" s="54"/>
      <c r="M30" s="54"/>
      <c r="N30" s="54"/>
      <c r="O30" s="106"/>
      <c r="P30" s="41"/>
      <c r="Q30" s="50"/>
      <c r="R30" s="1"/>
      <c r="S30" s="1"/>
      <c r="T30" s="1"/>
      <c r="U30" s="54"/>
      <c r="V30" s="54"/>
      <c r="W30" s="54"/>
      <c r="X30" s="54"/>
      <c r="Y30" s="54"/>
      <c r="Z30" s="54"/>
      <c r="AA30" s="54"/>
      <c r="AB30" s="54"/>
      <c r="AC30" s="54"/>
      <c r="AD30" s="106"/>
      <c r="AE30" s="41"/>
      <c r="AF30" s="50"/>
      <c r="AG30" s="1"/>
      <c r="AH30" s="1"/>
      <c r="AI30" s="1"/>
      <c r="AJ30" s="54"/>
      <c r="AK30" s="54"/>
      <c r="AL30" s="54"/>
      <c r="AM30" s="54"/>
      <c r="AN30" s="54"/>
      <c r="AO30" s="54"/>
      <c r="AP30" s="54"/>
      <c r="AQ30" s="54"/>
      <c r="AR30" s="54"/>
      <c r="AS30" s="106"/>
      <c r="AT30" s="41"/>
      <c r="AU30" s="50"/>
      <c r="AV30" s="1"/>
      <c r="AW30" s="1"/>
      <c r="AX30" s="1"/>
      <c r="AY30" s="54"/>
      <c r="AZ30" s="54"/>
      <c r="BA30" s="54"/>
      <c r="BB30" s="54"/>
      <c r="BC30" s="54"/>
      <c r="BD30" s="54"/>
      <c r="BE30" s="54"/>
      <c r="BF30" s="54"/>
      <c r="BG30" s="54"/>
      <c r="BH30" s="106"/>
    </row>
    <row r="31" ht="15.75" customHeight="1">
      <c r="A31" s="41"/>
      <c r="B31" s="76" t="s">
        <v>168</v>
      </c>
      <c r="C31" s="1"/>
      <c r="D31" s="127" t="str">
        <f>D17</f>
        <v>Split %</v>
      </c>
      <c r="E31" s="1"/>
      <c r="F31" s="54"/>
      <c r="G31" s="54"/>
      <c r="H31" s="54"/>
      <c r="I31" s="54"/>
      <c r="J31" s="54"/>
      <c r="K31" s="54"/>
      <c r="L31" s="54"/>
      <c r="M31" s="54"/>
      <c r="N31" s="54"/>
      <c r="O31" s="106"/>
      <c r="P31" s="41"/>
      <c r="Q31" s="76" t="s">
        <v>168</v>
      </c>
      <c r="R31" s="1"/>
      <c r="S31" s="127" t="str">
        <f>S17</f>
        <v>Split %</v>
      </c>
      <c r="T31" s="1"/>
      <c r="U31" s="54"/>
      <c r="V31" s="54"/>
      <c r="W31" s="54"/>
      <c r="X31" s="54"/>
      <c r="Y31" s="54"/>
      <c r="Z31" s="54"/>
      <c r="AA31" s="54"/>
      <c r="AB31" s="54"/>
      <c r="AC31" s="54"/>
      <c r="AD31" s="106"/>
      <c r="AE31" s="41"/>
      <c r="AF31" s="76" t="s">
        <v>168</v>
      </c>
      <c r="AG31" s="1"/>
      <c r="AH31" s="127" t="str">
        <f>AH17</f>
        <v>Split %</v>
      </c>
      <c r="AI31" s="1"/>
      <c r="AJ31" s="54"/>
      <c r="AK31" s="54"/>
      <c r="AL31" s="54"/>
      <c r="AM31" s="54"/>
      <c r="AN31" s="54"/>
      <c r="AO31" s="54"/>
      <c r="AP31" s="54"/>
      <c r="AQ31" s="54"/>
      <c r="AR31" s="54"/>
      <c r="AS31" s="106"/>
      <c r="AT31" s="41"/>
      <c r="AU31" s="76" t="s">
        <v>168</v>
      </c>
      <c r="AV31" s="1"/>
      <c r="AW31" s="127" t="str">
        <f>AW17</f>
        <v>Split %</v>
      </c>
      <c r="AX31" s="1"/>
      <c r="AY31" s="54"/>
      <c r="AZ31" s="54"/>
      <c r="BA31" s="54"/>
      <c r="BB31" s="54"/>
      <c r="BC31" s="54"/>
      <c r="BD31" s="54"/>
      <c r="BE31" s="54"/>
      <c r="BF31" s="54"/>
      <c r="BG31" s="54"/>
      <c r="BH31" s="106"/>
    </row>
    <row r="32" ht="15.75" customHeight="1">
      <c r="A32" s="41"/>
      <c r="B32" s="50" t="str">
        <f t="shared" ref="B32:B35" si="66">B18</f>
        <v>Pre-hurdle</v>
      </c>
      <c r="C32" s="1"/>
      <c r="D32" s="59">
        <f>Assumptions!H72</f>
        <v>0.9</v>
      </c>
      <c r="E32" s="1"/>
      <c r="F32" s="54">
        <f t="shared" ref="F32:O32" si="62">MIN(F15*$D32,SUM(F40:F42))</f>
        <v>315020.197</v>
      </c>
      <c r="G32" s="54">
        <f t="shared" si="62"/>
        <v>363894.6569</v>
      </c>
      <c r="H32" s="54">
        <f t="shared" si="62"/>
        <v>374811.4966</v>
      </c>
      <c r="I32" s="54">
        <f t="shared" si="62"/>
        <v>146458.6997</v>
      </c>
      <c r="J32" s="54">
        <f t="shared" si="62"/>
        <v>158040.3749</v>
      </c>
      <c r="K32" s="54">
        <f t="shared" si="62"/>
        <v>169969.5004</v>
      </c>
      <c r="L32" s="54">
        <f t="shared" si="62"/>
        <v>182256.4997</v>
      </c>
      <c r="M32" s="54">
        <f t="shared" si="62"/>
        <v>194912.1089</v>
      </c>
      <c r="N32" s="54">
        <f t="shared" si="62"/>
        <v>207947.3864</v>
      </c>
      <c r="O32" s="106">
        <f t="shared" si="62"/>
        <v>965060.7753</v>
      </c>
      <c r="P32" s="41"/>
      <c r="Q32" s="50" t="s">
        <v>130</v>
      </c>
      <c r="R32" s="1"/>
      <c r="S32" s="59">
        <f>Assumptions!P72</f>
        <v>0.9</v>
      </c>
      <c r="T32" s="1"/>
      <c r="U32" s="54">
        <f t="shared" ref="U32:AD32" si="63">MIN(U15*$S32,SUM(U40:U42))</f>
        <v>1131506.693</v>
      </c>
      <c r="V32" s="54">
        <f t="shared" si="63"/>
        <v>1312956.594</v>
      </c>
      <c r="W32" s="54">
        <f t="shared" si="63"/>
        <v>1352345.291</v>
      </c>
      <c r="X32" s="54">
        <f t="shared" si="63"/>
        <v>532317.5927</v>
      </c>
      <c r="Y32" s="54">
        <f t="shared" si="63"/>
        <v>574105.0622</v>
      </c>
      <c r="Z32" s="54">
        <f t="shared" si="63"/>
        <v>617146.1558</v>
      </c>
      <c r="AA32" s="54">
        <f t="shared" si="63"/>
        <v>661478.4822</v>
      </c>
      <c r="AB32" s="54">
        <f t="shared" si="63"/>
        <v>707140.7784</v>
      </c>
      <c r="AC32" s="54">
        <f t="shared" si="63"/>
        <v>754172.9435</v>
      </c>
      <c r="AD32" s="106">
        <f t="shared" si="63"/>
        <v>3385064.829</v>
      </c>
      <c r="AE32" s="41"/>
      <c r="AF32" s="50" t="s">
        <v>130</v>
      </c>
      <c r="AG32" s="1"/>
      <c r="AH32" s="59">
        <f>Assumptions!X72</f>
        <v>0.9</v>
      </c>
      <c r="AI32" s="1"/>
      <c r="AJ32" s="54">
        <f t="shared" ref="AJ32:AS32" si="64">MIN(AJ15*$D32,SUM(AJ40:AJ42))</f>
        <v>646219.972</v>
      </c>
      <c r="AK32" s="54">
        <f t="shared" si="64"/>
        <v>754137.4311</v>
      </c>
      <c r="AL32" s="54">
        <f t="shared" si="64"/>
        <v>776761.5541</v>
      </c>
      <c r="AM32" s="54">
        <f t="shared" si="64"/>
        <v>308564.3009</v>
      </c>
      <c r="AN32" s="54">
        <f t="shared" si="64"/>
        <v>332566.2329</v>
      </c>
      <c r="AO32" s="54">
        <f t="shared" si="64"/>
        <v>357288.2229</v>
      </c>
      <c r="AP32" s="54">
        <f t="shared" si="64"/>
        <v>382751.8726</v>
      </c>
      <c r="AQ32" s="54">
        <f t="shared" si="64"/>
        <v>408979.4318</v>
      </c>
      <c r="AR32" s="54">
        <f t="shared" si="64"/>
        <v>435993.8177</v>
      </c>
      <c r="AS32" s="106">
        <f t="shared" si="64"/>
        <v>1874166.654</v>
      </c>
      <c r="AT32" s="41"/>
      <c r="AU32" s="50" t="s">
        <v>130</v>
      </c>
      <c r="AV32" s="1"/>
      <c r="AW32" s="59">
        <f>Assumptions!AF72</f>
        <v>0.9</v>
      </c>
      <c r="AX32" s="1"/>
      <c r="AY32" s="54">
        <f t="shared" ref="AY32:BH32" si="65">MIN(AY15*$D32,SUM(AY40:AY42))</f>
        <v>1073319.69</v>
      </c>
      <c r="AZ32" s="54">
        <f t="shared" si="65"/>
        <v>1254337.379</v>
      </c>
      <c r="BA32" s="54">
        <f t="shared" si="65"/>
        <v>1291967.501</v>
      </c>
      <c r="BB32" s="54">
        <f t="shared" si="65"/>
        <v>514384.1689</v>
      </c>
      <c r="BC32" s="54">
        <f t="shared" si="65"/>
        <v>554305.9646</v>
      </c>
      <c r="BD32" s="54">
        <f t="shared" si="65"/>
        <v>595425.4143</v>
      </c>
      <c r="BE32" s="54">
        <f t="shared" si="65"/>
        <v>637778.4474</v>
      </c>
      <c r="BF32" s="54">
        <f t="shared" si="65"/>
        <v>681402.0715</v>
      </c>
      <c r="BG32" s="54">
        <f t="shared" si="65"/>
        <v>726334.4044</v>
      </c>
      <c r="BH32" s="106">
        <f t="shared" si="65"/>
        <v>3088378.152</v>
      </c>
    </row>
    <row r="33" ht="15.75" customHeight="1">
      <c r="A33" s="41"/>
      <c r="B33" s="50" t="str">
        <f t="shared" si="66"/>
        <v>1st hurdle</v>
      </c>
      <c r="C33" s="1"/>
      <c r="D33" s="59">
        <f>Assumptions!H73</f>
        <v>0.9</v>
      </c>
      <c r="E33" s="1"/>
      <c r="F33" s="54">
        <f t="shared" ref="F33:O33" si="67">MIN((F15-F18-F25-F32)*$D33,SUM(F47:F49)-SUM(F40:F42))</f>
        <v>0</v>
      </c>
      <c r="G33" s="54">
        <f t="shared" si="67"/>
        <v>0</v>
      </c>
      <c r="H33" s="54">
        <f t="shared" si="67"/>
        <v>0</v>
      </c>
      <c r="I33" s="54">
        <f t="shared" si="67"/>
        <v>0</v>
      </c>
      <c r="J33" s="54">
        <f t="shared" si="67"/>
        <v>0</v>
      </c>
      <c r="K33" s="54">
        <f t="shared" si="67"/>
        <v>0</v>
      </c>
      <c r="L33" s="54">
        <f t="shared" si="67"/>
        <v>0</v>
      </c>
      <c r="M33" s="54">
        <f t="shared" si="67"/>
        <v>0</v>
      </c>
      <c r="N33" s="54">
        <f t="shared" si="67"/>
        <v>0</v>
      </c>
      <c r="O33" s="106">
        <f t="shared" si="67"/>
        <v>477240.7213</v>
      </c>
      <c r="P33" s="41"/>
      <c r="Q33" s="50" t="s">
        <v>131</v>
      </c>
      <c r="R33" s="1"/>
      <c r="S33" s="59">
        <f>Assumptions!P73</f>
        <v>0.9</v>
      </c>
      <c r="T33" s="1"/>
      <c r="U33" s="54">
        <f t="shared" ref="U33:AD33" si="68">MIN((U15-U18-U25-U32)*$S33,SUM(U47:U49)-SUM(U40:U42))</f>
        <v>0</v>
      </c>
      <c r="V33" s="54">
        <f t="shared" si="68"/>
        <v>-0.0000000002095475793</v>
      </c>
      <c r="W33" s="54">
        <f t="shared" si="68"/>
        <v>0</v>
      </c>
      <c r="X33" s="54">
        <f t="shared" si="68"/>
        <v>0</v>
      </c>
      <c r="Y33" s="54">
        <f t="shared" si="68"/>
        <v>-0.0000000001047737896</v>
      </c>
      <c r="Z33" s="54">
        <f t="shared" si="68"/>
        <v>0</v>
      </c>
      <c r="AA33" s="54">
        <f t="shared" si="68"/>
        <v>-0.0000000001047737896</v>
      </c>
      <c r="AB33" s="54">
        <f t="shared" si="68"/>
        <v>-0.0000000001047737896</v>
      </c>
      <c r="AC33" s="54">
        <f t="shared" si="68"/>
        <v>0</v>
      </c>
      <c r="AD33" s="106">
        <f t="shared" si="68"/>
        <v>1706691.239</v>
      </c>
      <c r="AE33" s="41"/>
      <c r="AF33" s="50" t="s">
        <v>131</v>
      </c>
      <c r="AG33" s="1"/>
      <c r="AH33" s="59">
        <f>Assumptions!X73</f>
        <v>0.9</v>
      </c>
      <c r="AI33" s="1"/>
      <c r="AJ33" s="54">
        <f t="shared" ref="AJ33:AS33" si="69">MIN((AJ15-AJ18-AJ25-AJ32)*$D33,SUM(AJ47:AJ49)-SUM(AJ40:AJ42))</f>
        <v>-0.0000000001047737896</v>
      </c>
      <c r="AK33" s="54">
        <f t="shared" si="69"/>
        <v>-0.0000000001047737896</v>
      </c>
      <c r="AL33" s="54">
        <f t="shared" si="69"/>
        <v>-0.0000000001047737896</v>
      </c>
      <c r="AM33" s="54">
        <f t="shared" si="69"/>
        <v>0</v>
      </c>
      <c r="AN33" s="54">
        <f t="shared" si="69"/>
        <v>0</v>
      </c>
      <c r="AO33" s="54">
        <f t="shared" si="69"/>
        <v>0</v>
      </c>
      <c r="AP33" s="54">
        <f t="shared" si="69"/>
        <v>0</v>
      </c>
      <c r="AQ33" s="54">
        <f t="shared" si="69"/>
        <v>0</v>
      </c>
      <c r="AR33" s="54">
        <f t="shared" si="69"/>
        <v>0</v>
      </c>
      <c r="AS33" s="106">
        <f t="shared" si="69"/>
        <v>969273.1275</v>
      </c>
      <c r="AT33" s="41"/>
      <c r="AU33" s="50" t="s">
        <v>131</v>
      </c>
      <c r="AV33" s="1"/>
      <c r="AW33" s="59">
        <f>Assumptions!AF73</f>
        <v>0.9</v>
      </c>
      <c r="AX33" s="1"/>
      <c r="AY33" s="54">
        <f t="shared" ref="AY33:BH33" si="70">MIN((AY15-AY18-AY25-AY32)*$D33,SUM(AY47:AY49)-SUM(AY40:AY42))</f>
        <v>-0.0000000002095475793</v>
      </c>
      <c r="AZ33" s="54">
        <f t="shared" si="70"/>
        <v>-0.0000000002095475793</v>
      </c>
      <c r="BA33" s="54">
        <f t="shared" si="70"/>
        <v>0</v>
      </c>
      <c r="BB33" s="54">
        <f t="shared" si="70"/>
        <v>0</v>
      </c>
      <c r="BC33" s="54">
        <f t="shared" si="70"/>
        <v>-0.0000000001047737896</v>
      </c>
      <c r="BD33" s="54">
        <f t="shared" si="70"/>
        <v>-0.0000000001047737896</v>
      </c>
      <c r="BE33" s="54">
        <f t="shared" si="70"/>
        <v>-0.0000000001047737896</v>
      </c>
      <c r="BF33" s="54">
        <f t="shared" si="70"/>
        <v>0</v>
      </c>
      <c r="BG33" s="54">
        <f t="shared" si="70"/>
        <v>0</v>
      </c>
      <c r="BH33" s="106">
        <f t="shared" si="70"/>
        <v>1607631.859</v>
      </c>
    </row>
    <row r="34" ht="15.75" customHeight="1">
      <c r="A34" s="41"/>
      <c r="B34" s="50" t="str">
        <f t="shared" si="66"/>
        <v>2nd hurdle</v>
      </c>
      <c r="C34" s="1"/>
      <c r="D34" s="59">
        <f>Assumptions!H74</f>
        <v>0.8</v>
      </c>
      <c r="E34" s="1"/>
      <c r="F34" s="54">
        <f t="shared" ref="F34:O34" si="71">MIN((F15-F18-F19-F32-F33-F25-F26)*$D34,SUM(F54:F56)-SUM(F47:F49))</f>
        <v>0</v>
      </c>
      <c r="G34" s="54">
        <f t="shared" si="71"/>
        <v>0</v>
      </c>
      <c r="H34" s="54">
        <f t="shared" si="71"/>
        <v>0</v>
      </c>
      <c r="I34" s="54">
        <f t="shared" si="71"/>
        <v>0</v>
      </c>
      <c r="J34" s="54">
        <f t="shared" si="71"/>
        <v>0</v>
      </c>
      <c r="K34" s="54">
        <f t="shared" si="71"/>
        <v>0</v>
      </c>
      <c r="L34" s="54">
        <f t="shared" si="71"/>
        <v>0</v>
      </c>
      <c r="M34" s="54">
        <f t="shared" si="71"/>
        <v>0</v>
      </c>
      <c r="N34" s="54">
        <f t="shared" si="71"/>
        <v>0</v>
      </c>
      <c r="O34" s="106">
        <f t="shared" si="71"/>
        <v>585099.4856</v>
      </c>
      <c r="P34" s="41"/>
      <c r="Q34" s="50" t="s">
        <v>132</v>
      </c>
      <c r="R34" s="1"/>
      <c r="S34" s="59">
        <f>Assumptions!P74</f>
        <v>0.8</v>
      </c>
      <c r="T34" s="1"/>
      <c r="U34" s="54">
        <f t="shared" ref="U34:AD34" si="72">MIN((U15-U18-U19-U32-U33-U25-U26)*$S34,SUM(U54:U56)-SUM(U47:U49))</f>
        <v>0</v>
      </c>
      <c r="V34" s="54">
        <f t="shared" si="72"/>
        <v>0</v>
      </c>
      <c r="W34" s="54">
        <f t="shared" si="72"/>
        <v>0</v>
      </c>
      <c r="X34" s="54">
        <f t="shared" si="72"/>
        <v>0</v>
      </c>
      <c r="Y34" s="54">
        <f t="shared" si="72"/>
        <v>0</v>
      </c>
      <c r="Z34" s="54">
        <f t="shared" si="72"/>
        <v>0</v>
      </c>
      <c r="AA34" s="54">
        <f t="shared" si="72"/>
        <v>0</v>
      </c>
      <c r="AB34" s="54">
        <f t="shared" si="72"/>
        <v>0</v>
      </c>
      <c r="AC34" s="54">
        <f t="shared" si="72"/>
        <v>0</v>
      </c>
      <c r="AD34" s="106">
        <f t="shared" si="72"/>
        <v>2093408.43</v>
      </c>
      <c r="AE34" s="41"/>
      <c r="AF34" s="50" t="s">
        <v>132</v>
      </c>
      <c r="AG34" s="1"/>
      <c r="AH34" s="59">
        <f>Assumptions!X74</f>
        <v>0.8</v>
      </c>
      <c r="AI34" s="1"/>
      <c r="AJ34" s="54">
        <f t="shared" ref="AJ34:AS34" si="73">MIN((AJ15-AJ18-AJ19-AJ32-AJ33-AJ25-AJ26)*$D34,SUM(AJ54:AJ56)-SUM(AJ47:AJ49))</f>
        <v>0</v>
      </c>
      <c r="AK34" s="54">
        <f t="shared" si="73"/>
        <v>0</v>
      </c>
      <c r="AL34" s="54">
        <f t="shared" si="73"/>
        <v>0</v>
      </c>
      <c r="AM34" s="54">
        <f t="shared" si="73"/>
        <v>0</v>
      </c>
      <c r="AN34" s="54">
        <f t="shared" si="73"/>
        <v>0</v>
      </c>
      <c r="AO34" s="54">
        <f t="shared" si="73"/>
        <v>0</v>
      </c>
      <c r="AP34" s="54">
        <f t="shared" si="73"/>
        <v>0</v>
      </c>
      <c r="AQ34" s="54">
        <f t="shared" si="73"/>
        <v>0</v>
      </c>
      <c r="AR34" s="54">
        <f t="shared" si="73"/>
        <v>0</v>
      </c>
      <c r="AS34" s="106">
        <f t="shared" si="73"/>
        <v>1189627.174</v>
      </c>
      <c r="AT34" s="41"/>
      <c r="AU34" s="50" t="s">
        <v>132</v>
      </c>
      <c r="AV34" s="1"/>
      <c r="AW34" s="59">
        <f>Assumptions!AF74</f>
        <v>0.8</v>
      </c>
      <c r="AX34" s="1"/>
      <c r="AY34" s="54">
        <f t="shared" ref="AY34:BH34" si="74">MIN((AY15-AY18-AY19-AY32-AY33-AY25-AY26)*$D34,SUM(AY54:AY56)-SUM(AY47:AY49))</f>
        <v>0</v>
      </c>
      <c r="AZ34" s="54">
        <f t="shared" si="74"/>
        <v>0</v>
      </c>
      <c r="BA34" s="54">
        <f t="shared" si="74"/>
        <v>0</v>
      </c>
      <c r="BB34" s="54">
        <f t="shared" si="74"/>
        <v>0</v>
      </c>
      <c r="BC34" s="54">
        <f t="shared" si="74"/>
        <v>0</v>
      </c>
      <c r="BD34" s="54">
        <f t="shared" si="74"/>
        <v>0</v>
      </c>
      <c r="BE34" s="54">
        <f t="shared" si="74"/>
        <v>0</v>
      </c>
      <c r="BF34" s="54">
        <f t="shared" si="74"/>
        <v>0</v>
      </c>
      <c r="BG34" s="54">
        <f t="shared" si="74"/>
        <v>0</v>
      </c>
      <c r="BH34" s="106">
        <f t="shared" si="74"/>
        <v>1973412.929</v>
      </c>
    </row>
    <row r="35" ht="15.75" customHeight="1">
      <c r="A35" s="41"/>
      <c r="B35" s="103" t="str">
        <f t="shared" si="66"/>
        <v>Thereafter</v>
      </c>
      <c r="C35" s="26"/>
      <c r="D35" s="104">
        <f>Assumptions!H75</f>
        <v>0.65</v>
      </c>
      <c r="E35" s="26"/>
      <c r="F35" s="211">
        <f t="shared" ref="F35:O35" si="75">(F15-SUM(F18:F20)-SUM(F32:F34)-SUM(F25:F27))*$D35</f>
        <v>0</v>
      </c>
      <c r="G35" s="211">
        <f t="shared" si="75"/>
        <v>0</v>
      </c>
      <c r="H35" s="211">
        <f t="shared" si="75"/>
        <v>0</v>
      </c>
      <c r="I35" s="211">
        <f t="shared" si="75"/>
        <v>0</v>
      </c>
      <c r="J35" s="211">
        <f t="shared" si="75"/>
        <v>0</v>
      </c>
      <c r="K35" s="211">
        <f t="shared" si="75"/>
        <v>0</v>
      </c>
      <c r="L35" s="211">
        <f t="shared" si="75"/>
        <v>0</v>
      </c>
      <c r="M35" s="211">
        <f t="shared" si="75"/>
        <v>0</v>
      </c>
      <c r="N35" s="211">
        <f t="shared" si="75"/>
        <v>0</v>
      </c>
      <c r="O35" s="236">
        <f t="shared" si="75"/>
        <v>1760405.496</v>
      </c>
      <c r="P35" s="41"/>
      <c r="Q35" s="103" t="s">
        <v>133</v>
      </c>
      <c r="R35" s="26"/>
      <c r="S35" s="59">
        <f>Assumptions!P75</f>
        <v>0.65</v>
      </c>
      <c r="T35" s="26"/>
      <c r="U35" s="211">
        <f t="shared" ref="U35:AD35" si="76">(U15-SUM(U18:U20)-SUM(U32:U34)-SUM(U25:U27))*$S35</f>
        <v>0</v>
      </c>
      <c r="V35" s="211">
        <f t="shared" si="76"/>
        <v>0</v>
      </c>
      <c r="W35" s="211">
        <f t="shared" si="76"/>
        <v>0</v>
      </c>
      <c r="X35" s="211">
        <f t="shared" si="76"/>
        <v>0</v>
      </c>
      <c r="Y35" s="211">
        <f t="shared" si="76"/>
        <v>0</v>
      </c>
      <c r="Z35" s="211">
        <f t="shared" si="76"/>
        <v>0</v>
      </c>
      <c r="AA35" s="211">
        <f t="shared" si="76"/>
        <v>0</v>
      </c>
      <c r="AB35" s="211">
        <f t="shared" si="76"/>
        <v>0</v>
      </c>
      <c r="AC35" s="211">
        <f t="shared" si="76"/>
        <v>0</v>
      </c>
      <c r="AD35" s="236">
        <f t="shared" si="76"/>
        <v>6524038.592</v>
      </c>
      <c r="AE35" s="41"/>
      <c r="AF35" s="103" t="s">
        <v>133</v>
      </c>
      <c r="AG35" s="26"/>
      <c r="AH35" s="104">
        <f>Assumptions!X75</f>
        <v>0.65</v>
      </c>
      <c r="AI35" s="26"/>
      <c r="AJ35" s="211">
        <f t="shared" ref="AJ35:AS35" si="77">(AJ15-SUM(AJ18:AJ20)-SUM(AJ32:AJ34)-SUM(AJ25:AJ27))*$D35</f>
        <v>0</v>
      </c>
      <c r="AK35" s="211">
        <f t="shared" si="77"/>
        <v>0</v>
      </c>
      <c r="AL35" s="211">
        <f t="shared" si="77"/>
        <v>0</v>
      </c>
      <c r="AM35" s="211">
        <f t="shared" si="77"/>
        <v>0</v>
      </c>
      <c r="AN35" s="211">
        <f t="shared" si="77"/>
        <v>0</v>
      </c>
      <c r="AO35" s="211">
        <f t="shared" si="77"/>
        <v>0</v>
      </c>
      <c r="AP35" s="211">
        <f t="shared" si="77"/>
        <v>0</v>
      </c>
      <c r="AQ35" s="211">
        <f t="shared" si="77"/>
        <v>0</v>
      </c>
      <c r="AR35" s="211">
        <f t="shared" si="77"/>
        <v>0</v>
      </c>
      <c r="AS35" s="236">
        <f t="shared" si="77"/>
        <v>4337609.739</v>
      </c>
      <c r="AT35" s="41"/>
      <c r="AU35" s="103" t="s">
        <v>133</v>
      </c>
      <c r="AV35" s="26"/>
      <c r="AW35" s="104">
        <f>Assumptions!AF75</f>
        <v>0.65</v>
      </c>
      <c r="AX35" s="26"/>
      <c r="AY35" s="211">
        <f t="shared" ref="AY35:BH35" si="78">(AY15-SUM(AY18:AY20)-SUM(AY32:AY34)-SUM(AY25:AY27))*$D35</f>
        <v>0</v>
      </c>
      <c r="AZ35" s="211">
        <f t="shared" si="78"/>
        <v>0</v>
      </c>
      <c r="BA35" s="211">
        <f t="shared" si="78"/>
        <v>0</v>
      </c>
      <c r="BB35" s="211">
        <f t="shared" si="78"/>
        <v>0</v>
      </c>
      <c r="BC35" s="211">
        <f t="shared" si="78"/>
        <v>0</v>
      </c>
      <c r="BD35" s="211">
        <f t="shared" si="78"/>
        <v>0</v>
      </c>
      <c r="BE35" s="211">
        <f t="shared" si="78"/>
        <v>0</v>
      </c>
      <c r="BF35" s="211">
        <f t="shared" si="78"/>
        <v>0</v>
      </c>
      <c r="BG35" s="211">
        <f t="shared" si="78"/>
        <v>0</v>
      </c>
      <c r="BH35" s="236">
        <f t="shared" si="78"/>
        <v>7253548.129</v>
      </c>
    </row>
    <row r="36" ht="15.75" customHeight="1">
      <c r="A36" s="41"/>
      <c r="B36" s="46" t="s">
        <v>169</v>
      </c>
      <c r="C36" s="47"/>
      <c r="D36" s="47"/>
      <c r="E36" s="47"/>
      <c r="F36" s="213">
        <f t="shared" ref="F36:O36" si="79">SUM(F32:F35)</f>
        <v>315020.197</v>
      </c>
      <c r="G36" s="213">
        <f t="shared" si="79"/>
        <v>363894.6569</v>
      </c>
      <c r="H36" s="213">
        <f t="shared" si="79"/>
        <v>374811.4966</v>
      </c>
      <c r="I36" s="213">
        <f t="shared" si="79"/>
        <v>146458.6997</v>
      </c>
      <c r="J36" s="213">
        <f t="shared" si="79"/>
        <v>158040.3749</v>
      </c>
      <c r="K36" s="213">
        <f t="shared" si="79"/>
        <v>169969.5004</v>
      </c>
      <c r="L36" s="213">
        <f t="shared" si="79"/>
        <v>182256.4997</v>
      </c>
      <c r="M36" s="213">
        <f t="shared" si="79"/>
        <v>194912.1089</v>
      </c>
      <c r="N36" s="213">
        <f t="shared" si="79"/>
        <v>207947.3864</v>
      </c>
      <c r="O36" s="241">
        <f t="shared" si="79"/>
        <v>3787806.478</v>
      </c>
      <c r="P36" s="41"/>
      <c r="Q36" s="46" t="s">
        <v>169</v>
      </c>
      <c r="R36" s="47"/>
      <c r="S36" s="47"/>
      <c r="T36" s="47"/>
      <c r="U36" s="213">
        <f t="shared" ref="U36:AD36" si="80">SUM(U32:U35)</f>
        <v>1131506.693</v>
      </c>
      <c r="V36" s="213">
        <f t="shared" si="80"/>
        <v>1312956.594</v>
      </c>
      <c r="W36" s="213">
        <f t="shared" si="80"/>
        <v>1352345.291</v>
      </c>
      <c r="X36" s="213">
        <f t="shared" si="80"/>
        <v>532317.5927</v>
      </c>
      <c r="Y36" s="213">
        <f t="shared" si="80"/>
        <v>574105.0622</v>
      </c>
      <c r="Z36" s="213">
        <f t="shared" si="80"/>
        <v>617146.1558</v>
      </c>
      <c r="AA36" s="213">
        <f t="shared" si="80"/>
        <v>661478.4822</v>
      </c>
      <c r="AB36" s="213">
        <f t="shared" si="80"/>
        <v>707140.7784</v>
      </c>
      <c r="AC36" s="213">
        <f t="shared" si="80"/>
        <v>754172.9435</v>
      </c>
      <c r="AD36" s="241">
        <f t="shared" si="80"/>
        <v>13709203.09</v>
      </c>
      <c r="AE36" s="41"/>
      <c r="AF36" s="46" t="s">
        <v>169</v>
      </c>
      <c r="AG36" s="47"/>
      <c r="AH36" s="47"/>
      <c r="AI36" s="47"/>
      <c r="AJ36" s="213">
        <f t="shared" ref="AJ36:AS36" si="81">SUM(AJ32:AJ35)</f>
        <v>646219.972</v>
      </c>
      <c r="AK36" s="213">
        <f t="shared" si="81"/>
        <v>754137.4311</v>
      </c>
      <c r="AL36" s="213">
        <f t="shared" si="81"/>
        <v>776761.5541</v>
      </c>
      <c r="AM36" s="213">
        <f t="shared" si="81"/>
        <v>308564.3009</v>
      </c>
      <c r="AN36" s="213">
        <f t="shared" si="81"/>
        <v>332566.2329</v>
      </c>
      <c r="AO36" s="213">
        <f t="shared" si="81"/>
        <v>357288.2229</v>
      </c>
      <c r="AP36" s="213">
        <f t="shared" si="81"/>
        <v>382751.8726</v>
      </c>
      <c r="AQ36" s="213">
        <f t="shared" si="81"/>
        <v>408979.4318</v>
      </c>
      <c r="AR36" s="213">
        <f t="shared" si="81"/>
        <v>435993.8177</v>
      </c>
      <c r="AS36" s="241">
        <f t="shared" si="81"/>
        <v>8370676.694</v>
      </c>
      <c r="AT36" s="41"/>
      <c r="AU36" s="46" t="s">
        <v>169</v>
      </c>
      <c r="AV36" s="47"/>
      <c r="AW36" s="47"/>
      <c r="AX36" s="47"/>
      <c r="AY36" s="213">
        <f t="shared" ref="AY36:BH36" si="82">SUM(AY32:AY35)</f>
        <v>1073319.69</v>
      </c>
      <c r="AZ36" s="213">
        <f t="shared" si="82"/>
        <v>1254337.379</v>
      </c>
      <c r="BA36" s="213">
        <f t="shared" si="82"/>
        <v>1291967.501</v>
      </c>
      <c r="BB36" s="213">
        <f t="shared" si="82"/>
        <v>514384.1689</v>
      </c>
      <c r="BC36" s="213">
        <f t="shared" si="82"/>
        <v>554305.9646</v>
      </c>
      <c r="BD36" s="213">
        <f t="shared" si="82"/>
        <v>595425.4143</v>
      </c>
      <c r="BE36" s="213">
        <f t="shared" si="82"/>
        <v>637778.4474</v>
      </c>
      <c r="BF36" s="213">
        <f t="shared" si="82"/>
        <v>681402.0715</v>
      </c>
      <c r="BG36" s="213">
        <f t="shared" si="82"/>
        <v>726334.4044</v>
      </c>
      <c r="BH36" s="241">
        <f t="shared" si="82"/>
        <v>13922971.07</v>
      </c>
    </row>
    <row r="37" ht="15.75" customHeight="1">
      <c r="A37" s="41"/>
      <c r="B37" s="50"/>
      <c r="C37" s="1"/>
      <c r="D37" s="1"/>
      <c r="E37" s="1"/>
      <c r="F37" s="54"/>
      <c r="G37" s="54"/>
      <c r="H37" s="54"/>
      <c r="I37" s="54"/>
      <c r="J37" s="54"/>
      <c r="K37" s="54"/>
      <c r="L37" s="54"/>
      <c r="M37" s="54"/>
      <c r="N37" s="54"/>
      <c r="O37" s="106"/>
      <c r="P37" s="41"/>
      <c r="Q37" s="50"/>
      <c r="R37" s="1"/>
      <c r="S37" s="1"/>
      <c r="T37" s="1"/>
      <c r="U37" s="54"/>
      <c r="V37" s="54"/>
      <c r="W37" s="54"/>
      <c r="X37" s="54"/>
      <c r="Y37" s="54"/>
      <c r="Z37" s="54"/>
      <c r="AA37" s="54"/>
      <c r="AB37" s="54"/>
      <c r="AC37" s="54"/>
      <c r="AD37" s="106"/>
      <c r="AE37" s="41"/>
      <c r="AF37" s="50"/>
      <c r="AG37" s="1"/>
      <c r="AH37" s="1"/>
      <c r="AI37" s="1"/>
      <c r="AJ37" s="54"/>
      <c r="AK37" s="54"/>
      <c r="AL37" s="54"/>
      <c r="AM37" s="54"/>
      <c r="AN37" s="54"/>
      <c r="AO37" s="54"/>
      <c r="AP37" s="54"/>
      <c r="AQ37" s="54"/>
      <c r="AR37" s="54"/>
      <c r="AS37" s="106"/>
      <c r="AT37" s="41"/>
      <c r="AU37" s="50"/>
      <c r="AV37" s="1"/>
      <c r="AW37" s="1"/>
      <c r="AX37" s="1"/>
      <c r="AY37" s="54"/>
      <c r="AZ37" s="54"/>
      <c r="BA37" s="54"/>
      <c r="BB37" s="54"/>
      <c r="BC37" s="54"/>
      <c r="BD37" s="54"/>
      <c r="BE37" s="54"/>
      <c r="BF37" s="54"/>
      <c r="BG37" s="54"/>
      <c r="BH37" s="106"/>
    </row>
    <row r="38" ht="15.75" customHeight="1">
      <c r="A38" s="41"/>
      <c r="B38" s="50"/>
      <c r="C38" s="1"/>
      <c r="D38" s="1"/>
      <c r="E38" s="1"/>
      <c r="F38" s="54"/>
      <c r="G38" s="54"/>
      <c r="H38" s="54"/>
      <c r="I38" s="54"/>
      <c r="J38" s="54"/>
      <c r="K38" s="54"/>
      <c r="L38" s="54"/>
      <c r="M38" s="54"/>
      <c r="N38" s="54"/>
      <c r="O38" s="106"/>
      <c r="P38" s="41"/>
      <c r="Q38" s="50"/>
      <c r="R38" s="1"/>
      <c r="S38" s="1"/>
      <c r="T38" s="1"/>
      <c r="U38" s="54"/>
      <c r="V38" s="54"/>
      <c r="W38" s="54"/>
      <c r="X38" s="54"/>
      <c r="Y38" s="54"/>
      <c r="Z38" s="54"/>
      <c r="AA38" s="54"/>
      <c r="AB38" s="54"/>
      <c r="AC38" s="54"/>
      <c r="AD38" s="106"/>
      <c r="AE38" s="41"/>
      <c r="AF38" s="50"/>
      <c r="AG38" s="1"/>
      <c r="AH38" s="1"/>
      <c r="AI38" s="1"/>
      <c r="AJ38" s="54"/>
      <c r="AK38" s="54"/>
      <c r="AL38" s="54"/>
      <c r="AM38" s="54"/>
      <c r="AN38" s="54"/>
      <c r="AO38" s="54"/>
      <c r="AP38" s="54"/>
      <c r="AQ38" s="54"/>
      <c r="AR38" s="54"/>
      <c r="AS38" s="106"/>
      <c r="AT38" s="41"/>
      <c r="AU38" s="50"/>
      <c r="AV38" s="1"/>
      <c r="AW38" s="1"/>
      <c r="AX38" s="1"/>
      <c r="AY38" s="54"/>
      <c r="AZ38" s="54"/>
      <c r="BA38" s="54"/>
      <c r="BB38" s="54"/>
      <c r="BC38" s="54"/>
      <c r="BD38" s="54"/>
      <c r="BE38" s="54"/>
      <c r="BF38" s="54"/>
      <c r="BG38" s="54"/>
      <c r="BH38" s="106"/>
    </row>
    <row r="39" ht="15.75" customHeight="1">
      <c r="A39" s="41"/>
      <c r="B39" s="235" t="s">
        <v>130</v>
      </c>
      <c r="C39" s="26"/>
      <c r="D39" s="26"/>
      <c r="E39" s="26"/>
      <c r="F39" s="211"/>
      <c r="G39" s="211"/>
      <c r="H39" s="211"/>
      <c r="I39" s="211"/>
      <c r="J39" s="211"/>
      <c r="K39" s="211"/>
      <c r="L39" s="211"/>
      <c r="M39" s="211"/>
      <c r="N39" s="211"/>
      <c r="O39" s="236"/>
      <c r="P39" s="41"/>
      <c r="Q39" s="235" t="s">
        <v>130</v>
      </c>
      <c r="R39" s="26"/>
      <c r="S39" s="26"/>
      <c r="T39" s="26"/>
      <c r="U39" s="211"/>
      <c r="V39" s="211"/>
      <c r="W39" s="211"/>
      <c r="X39" s="211"/>
      <c r="Y39" s="211"/>
      <c r="Z39" s="211"/>
      <c r="AA39" s="211"/>
      <c r="AB39" s="211"/>
      <c r="AC39" s="211"/>
      <c r="AD39" s="236"/>
      <c r="AE39" s="41"/>
      <c r="AF39" s="235" t="s">
        <v>130</v>
      </c>
      <c r="AG39" s="26"/>
      <c r="AH39" s="26"/>
      <c r="AI39" s="26"/>
      <c r="AJ39" s="211"/>
      <c r="AK39" s="211"/>
      <c r="AL39" s="211"/>
      <c r="AM39" s="211"/>
      <c r="AN39" s="211"/>
      <c r="AO39" s="211"/>
      <c r="AP39" s="211"/>
      <c r="AQ39" s="211"/>
      <c r="AR39" s="211"/>
      <c r="AS39" s="236"/>
      <c r="AT39" s="41"/>
      <c r="AU39" s="235" t="s">
        <v>130</v>
      </c>
      <c r="AV39" s="26"/>
      <c r="AW39" s="26"/>
      <c r="AX39" s="26"/>
      <c r="AY39" s="211"/>
      <c r="AZ39" s="211"/>
      <c r="BA39" s="211"/>
      <c r="BB39" s="211"/>
      <c r="BC39" s="211"/>
      <c r="BD39" s="211"/>
      <c r="BE39" s="211"/>
      <c r="BF39" s="211"/>
      <c r="BG39" s="211"/>
      <c r="BH39" s="236"/>
    </row>
    <row r="40" ht="15.75" customHeight="1">
      <c r="A40" s="41"/>
      <c r="B40" s="50" t="s">
        <v>170</v>
      </c>
      <c r="C40" s="1"/>
      <c r="D40" s="1"/>
      <c r="E40" s="54">
        <f t="shared" ref="E40:O40" si="83">E9</f>
        <v>1807547.098</v>
      </c>
      <c r="F40" s="54">
        <f t="shared" si="83"/>
        <v>0</v>
      </c>
      <c r="G40" s="54">
        <f t="shared" si="83"/>
        <v>0</v>
      </c>
      <c r="H40" s="54">
        <f t="shared" si="83"/>
        <v>0</v>
      </c>
      <c r="I40" s="54">
        <f t="shared" si="83"/>
        <v>0</v>
      </c>
      <c r="J40" s="54">
        <f t="shared" si="83"/>
        <v>0</v>
      </c>
      <c r="K40" s="54">
        <f t="shared" si="83"/>
        <v>0</v>
      </c>
      <c r="L40" s="54">
        <f t="shared" si="83"/>
        <v>0</v>
      </c>
      <c r="M40" s="54">
        <f t="shared" si="83"/>
        <v>0</v>
      </c>
      <c r="N40" s="54">
        <f t="shared" si="83"/>
        <v>0</v>
      </c>
      <c r="O40" s="106">
        <f t="shared" si="83"/>
        <v>0</v>
      </c>
      <c r="P40" s="41"/>
      <c r="Q40" s="50" t="s">
        <v>170</v>
      </c>
      <c r="R40" s="1"/>
      <c r="S40" s="1"/>
      <c r="T40" s="54">
        <f t="shared" ref="T40:AD40" si="84">T9</f>
        <v>6492446.068</v>
      </c>
      <c r="U40" s="54">
        <f t="shared" si="84"/>
        <v>0</v>
      </c>
      <c r="V40" s="54">
        <f t="shared" si="84"/>
        <v>0</v>
      </c>
      <c r="W40" s="54">
        <f t="shared" si="84"/>
        <v>0</v>
      </c>
      <c r="X40" s="54">
        <f t="shared" si="84"/>
        <v>0</v>
      </c>
      <c r="Y40" s="54">
        <f t="shared" si="84"/>
        <v>0</v>
      </c>
      <c r="Z40" s="54">
        <f t="shared" si="84"/>
        <v>0</v>
      </c>
      <c r="AA40" s="54">
        <f t="shared" si="84"/>
        <v>0</v>
      </c>
      <c r="AB40" s="54">
        <f t="shared" si="84"/>
        <v>0</v>
      </c>
      <c r="AC40" s="54">
        <f t="shared" si="84"/>
        <v>0</v>
      </c>
      <c r="AD40" s="106">
        <f t="shared" si="84"/>
        <v>0</v>
      </c>
      <c r="AE40" s="41"/>
      <c r="AF40" s="50" t="s">
        <v>170</v>
      </c>
      <c r="AG40" s="1"/>
      <c r="AH40" s="1"/>
      <c r="AI40" s="54">
        <f t="shared" ref="AI40:AS40" si="85">AI9</f>
        <v>3707930.622</v>
      </c>
      <c r="AJ40" s="54">
        <f t="shared" si="85"/>
        <v>0</v>
      </c>
      <c r="AK40" s="54">
        <f t="shared" si="85"/>
        <v>0</v>
      </c>
      <c r="AL40" s="54">
        <f t="shared" si="85"/>
        <v>0</v>
      </c>
      <c r="AM40" s="54">
        <f t="shared" si="85"/>
        <v>0</v>
      </c>
      <c r="AN40" s="54">
        <f t="shared" si="85"/>
        <v>0</v>
      </c>
      <c r="AO40" s="54">
        <f t="shared" si="85"/>
        <v>0</v>
      </c>
      <c r="AP40" s="54">
        <f t="shared" si="85"/>
        <v>0</v>
      </c>
      <c r="AQ40" s="54">
        <f t="shared" si="85"/>
        <v>0</v>
      </c>
      <c r="AR40" s="54">
        <f t="shared" si="85"/>
        <v>0</v>
      </c>
      <c r="AS40" s="106">
        <f t="shared" si="85"/>
        <v>0</v>
      </c>
      <c r="AT40" s="41"/>
      <c r="AU40" s="50" t="s">
        <v>170</v>
      </c>
      <c r="AV40" s="1"/>
      <c r="AW40" s="1"/>
      <c r="AX40" s="54">
        <f t="shared" ref="AX40:BH40" si="86">AX9</f>
        <v>6158576.212</v>
      </c>
      <c r="AY40" s="54">
        <f t="shared" si="86"/>
        <v>0</v>
      </c>
      <c r="AZ40" s="54">
        <f t="shared" si="86"/>
        <v>0</v>
      </c>
      <c r="BA40" s="54">
        <f t="shared" si="86"/>
        <v>0</v>
      </c>
      <c r="BB40" s="54">
        <f t="shared" si="86"/>
        <v>0</v>
      </c>
      <c r="BC40" s="54">
        <f t="shared" si="86"/>
        <v>0</v>
      </c>
      <c r="BD40" s="54">
        <f t="shared" si="86"/>
        <v>0</v>
      </c>
      <c r="BE40" s="54">
        <f t="shared" si="86"/>
        <v>0</v>
      </c>
      <c r="BF40" s="54">
        <f t="shared" si="86"/>
        <v>0</v>
      </c>
      <c r="BG40" s="54">
        <f t="shared" si="86"/>
        <v>0</v>
      </c>
      <c r="BH40" s="106">
        <f t="shared" si="86"/>
        <v>0</v>
      </c>
    </row>
    <row r="41" ht="15.75" customHeight="1">
      <c r="A41" s="41"/>
      <c r="B41" s="50" t="s">
        <v>171</v>
      </c>
      <c r="C41" s="1"/>
      <c r="D41" s="1"/>
      <c r="E41" s="1"/>
      <c r="F41" s="54">
        <f t="shared" ref="F41:O41" si="87">E44</f>
        <v>1807547.098</v>
      </c>
      <c r="G41" s="54">
        <f t="shared" si="87"/>
        <v>1673281.611</v>
      </c>
      <c r="H41" s="54">
        <f t="shared" si="87"/>
        <v>1476715.115</v>
      </c>
      <c r="I41" s="54">
        <f t="shared" si="87"/>
        <v>1249575.13</v>
      </c>
      <c r="J41" s="54">
        <f t="shared" si="87"/>
        <v>1228073.943</v>
      </c>
      <c r="K41" s="54">
        <f t="shared" si="87"/>
        <v>1192840.963</v>
      </c>
      <c r="L41" s="54">
        <f t="shared" si="87"/>
        <v>1142155.559</v>
      </c>
      <c r="M41" s="54">
        <f t="shared" si="87"/>
        <v>1074114.615</v>
      </c>
      <c r="N41" s="54">
        <f t="shared" si="87"/>
        <v>986613.9673</v>
      </c>
      <c r="O41" s="106">
        <f t="shared" si="87"/>
        <v>877327.9776</v>
      </c>
      <c r="P41" s="41"/>
      <c r="Q41" s="50" t="s">
        <v>171</v>
      </c>
      <c r="R41" s="1"/>
      <c r="S41" s="1"/>
      <c r="T41" s="1"/>
      <c r="U41" s="54">
        <f t="shared" ref="U41:AD41" si="88">T44</f>
        <v>6492446.068</v>
      </c>
      <c r="V41" s="54">
        <f t="shared" si="88"/>
        <v>6010183.982</v>
      </c>
      <c r="W41" s="54">
        <f t="shared" si="88"/>
        <v>5298245.786</v>
      </c>
      <c r="X41" s="54">
        <f t="shared" si="88"/>
        <v>4475725.074</v>
      </c>
      <c r="Y41" s="54">
        <f t="shared" si="88"/>
        <v>4390979.988</v>
      </c>
      <c r="Z41" s="54">
        <f t="shared" si="88"/>
        <v>4255972.925</v>
      </c>
      <c r="AA41" s="54">
        <f t="shared" si="88"/>
        <v>4064424.061</v>
      </c>
      <c r="AB41" s="54">
        <f t="shared" si="88"/>
        <v>3809387.985</v>
      </c>
      <c r="AC41" s="54">
        <f t="shared" si="88"/>
        <v>3483186.006</v>
      </c>
      <c r="AD41" s="106">
        <f t="shared" si="88"/>
        <v>3077331.663</v>
      </c>
      <c r="AE41" s="41"/>
      <c r="AF41" s="50" t="s">
        <v>171</v>
      </c>
      <c r="AG41" s="1"/>
      <c r="AH41" s="1"/>
      <c r="AI41" s="1"/>
      <c r="AJ41" s="54">
        <f t="shared" ref="AJ41:AS41" si="89">AI44</f>
        <v>3707930.622</v>
      </c>
      <c r="AK41" s="54">
        <f t="shared" si="89"/>
        <v>3432503.712</v>
      </c>
      <c r="AL41" s="54">
        <f t="shared" si="89"/>
        <v>3021616.652</v>
      </c>
      <c r="AM41" s="54">
        <f t="shared" si="89"/>
        <v>2547016.763</v>
      </c>
      <c r="AN41" s="54">
        <f t="shared" si="89"/>
        <v>2493154.139</v>
      </c>
      <c r="AO41" s="54">
        <f t="shared" si="89"/>
        <v>2409903.32</v>
      </c>
      <c r="AP41" s="54">
        <f t="shared" si="89"/>
        <v>2293605.429</v>
      </c>
      <c r="AQ41" s="54">
        <f t="shared" si="89"/>
        <v>2140214.099</v>
      </c>
      <c r="AR41" s="54">
        <f t="shared" si="89"/>
        <v>1945256.077</v>
      </c>
      <c r="AS41" s="106">
        <f t="shared" si="89"/>
        <v>1703787.867</v>
      </c>
      <c r="AT41" s="41"/>
      <c r="AU41" s="50" t="s">
        <v>171</v>
      </c>
      <c r="AV41" s="1"/>
      <c r="AW41" s="1"/>
      <c r="AX41" s="1"/>
      <c r="AY41" s="54">
        <f t="shared" ref="AY41:BH41" si="90">AX44</f>
        <v>6158576.212</v>
      </c>
      <c r="AZ41" s="54">
        <f t="shared" si="90"/>
        <v>5701114.143</v>
      </c>
      <c r="BA41" s="54">
        <f t="shared" si="90"/>
        <v>5016888.178</v>
      </c>
      <c r="BB41" s="54">
        <f t="shared" si="90"/>
        <v>4226609.495</v>
      </c>
      <c r="BC41" s="54">
        <f t="shared" si="90"/>
        <v>4134886.275</v>
      </c>
      <c r="BD41" s="54">
        <f t="shared" si="90"/>
        <v>3994068.938</v>
      </c>
      <c r="BE41" s="54">
        <f t="shared" si="90"/>
        <v>3798050.418</v>
      </c>
      <c r="BF41" s="54">
        <f t="shared" si="90"/>
        <v>3540077.012</v>
      </c>
      <c r="BG41" s="54">
        <f t="shared" si="90"/>
        <v>3212682.642</v>
      </c>
      <c r="BH41" s="106">
        <f t="shared" si="90"/>
        <v>2807616.502</v>
      </c>
    </row>
    <row r="42" ht="15.75" customHeight="1">
      <c r="A42" s="41"/>
      <c r="B42" s="50" t="s">
        <v>172</v>
      </c>
      <c r="C42" s="59">
        <f>Assumptions!E72</f>
        <v>0.1</v>
      </c>
      <c r="D42" s="1"/>
      <c r="E42" s="1"/>
      <c r="F42" s="54">
        <f t="shared" ref="F42:O42" si="91">F41*$C42</f>
        <v>180754.7098</v>
      </c>
      <c r="G42" s="54">
        <f t="shared" si="91"/>
        <v>167328.1611</v>
      </c>
      <c r="H42" s="54">
        <f t="shared" si="91"/>
        <v>147671.5115</v>
      </c>
      <c r="I42" s="54">
        <f t="shared" si="91"/>
        <v>124957.513</v>
      </c>
      <c r="J42" s="54">
        <f t="shared" si="91"/>
        <v>122807.3943</v>
      </c>
      <c r="K42" s="54">
        <f t="shared" si="91"/>
        <v>119284.0963</v>
      </c>
      <c r="L42" s="54">
        <f t="shared" si="91"/>
        <v>114215.5559</v>
      </c>
      <c r="M42" s="54">
        <f t="shared" si="91"/>
        <v>107411.4615</v>
      </c>
      <c r="N42" s="54">
        <f t="shared" si="91"/>
        <v>98661.39673</v>
      </c>
      <c r="O42" s="106">
        <f t="shared" si="91"/>
        <v>87732.79776</v>
      </c>
      <c r="P42" s="41"/>
      <c r="Q42" s="50" t="s">
        <v>172</v>
      </c>
      <c r="R42" s="59">
        <f>Assumptions!M72</f>
        <v>0.1</v>
      </c>
      <c r="S42" s="1"/>
      <c r="T42" s="1"/>
      <c r="U42" s="54">
        <f t="shared" ref="U42:AD42" si="92">U41*$R42</f>
        <v>649244.6068</v>
      </c>
      <c r="V42" s="54">
        <f t="shared" si="92"/>
        <v>601018.3982</v>
      </c>
      <c r="W42" s="54">
        <f t="shared" si="92"/>
        <v>529824.5786</v>
      </c>
      <c r="X42" s="54">
        <f t="shared" si="92"/>
        <v>447572.5074</v>
      </c>
      <c r="Y42" s="54">
        <f t="shared" si="92"/>
        <v>439097.9988</v>
      </c>
      <c r="Z42" s="54">
        <f t="shared" si="92"/>
        <v>425597.2925</v>
      </c>
      <c r="AA42" s="54">
        <f t="shared" si="92"/>
        <v>406442.4061</v>
      </c>
      <c r="AB42" s="54">
        <f t="shared" si="92"/>
        <v>380938.7985</v>
      </c>
      <c r="AC42" s="54">
        <f t="shared" si="92"/>
        <v>348318.6006</v>
      </c>
      <c r="AD42" s="106">
        <f t="shared" si="92"/>
        <v>307733.1663</v>
      </c>
      <c r="AE42" s="41"/>
      <c r="AF42" s="50" t="s">
        <v>172</v>
      </c>
      <c r="AG42" s="59">
        <f>Assumptions!U72</f>
        <v>0.1</v>
      </c>
      <c r="AH42" s="1"/>
      <c r="AI42" s="1"/>
      <c r="AJ42" s="54">
        <f t="shared" ref="AJ42:AS42" si="93">AJ41*$AG42</f>
        <v>370793.0622</v>
      </c>
      <c r="AK42" s="54">
        <f t="shared" si="93"/>
        <v>343250.3712</v>
      </c>
      <c r="AL42" s="54">
        <f t="shared" si="93"/>
        <v>302161.6652</v>
      </c>
      <c r="AM42" s="54">
        <f t="shared" si="93"/>
        <v>254701.6763</v>
      </c>
      <c r="AN42" s="54">
        <f t="shared" si="93"/>
        <v>249315.4139</v>
      </c>
      <c r="AO42" s="54">
        <f t="shared" si="93"/>
        <v>240990.332</v>
      </c>
      <c r="AP42" s="54">
        <f t="shared" si="93"/>
        <v>229360.5429</v>
      </c>
      <c r="AQ42" s="54">
        <f t="shared" si="93"/>
        <v>214021.4099</v>
      </c>
      <c r="AR42" s="54">
        <f t="shared" si="93"/>
        <v>194525.6077</v>
      </c>
      <c r="AS42" s="106">
        <f t="shared" si="93"/>
        <v>170378.7867</v>
      </c>
      <c r="AT42" s="41"/>
      <c r="AU42" s="50" t="s">
        <v>172</v>
      </c>
      <c r="AV42" s="59">
        <f>Assumptions!AC72</f>
        <v>0.1</v>
      </c>
      <c r="AW42" s="1"/>
      <c r="AX42" s="1"/>
      <c r="AY42" s="54">
        <f t="shared" ref="AY42:BH42" si="94">AY41*$AV42</f>
        <v>615857.6212</v>
      </c>
      <c r="AZ42" s="54">
        <f t="shared" si="94"/>
        <v>570111.4143</v>
      </c>
      <c r="BA42" s="54">
        <f t="shared" si="94"/>
        <v>501688.8178</v>
      </c>
      <c r="BB42" s="54">
        <f t="shared" si="94"/>
        <v>422660.9495</v>
      </c>
      <c r="BC42" s="54">
        <f t="shared" si="94"/>
        <v>413488.6275</v>
      </c>
      <c r="BD42" s="54">
        <f t="shared" si="94"/>
        <v>399406.8938</v>
      </c>
      <c r="BE42" s="54">
        <f t="shared" si="94"/>
        <v>379805.0418</v>
      </c>
      <c r="BF42" s="54">
        <f t="shared" si="94"/>
        <v>354007.7012</v>
      </c>
      <c r="BG42" s="54">
        <f t="shared" si="94"/>
        <v>321268.2642</v>
      </c>
      <c r="BH42" s="106">
        <f t="shared" si="94"/>
        <v>280761.6502</v>
      </c>
    </row>
    <row r="43" ht="15.75" customHeight="1">
      <c r="A43" s="41"/>
      <c r="B43" s="50" t="s">
        <v>173</v>
      </c>
      <c r="C43" s="1"/>
      <c r="D43" s="1"/>
      <c r="E43" s="1"/>
      <c r="F43" s="54">
        <f t="shared" ref="F43:O43" si="95">-F32</f>
        <v>-315020.197</v>
      </c>
      <c r="G43" s="54">
        <f t="shared" si="95"/>
        <v>-363894.6569</v>
      </c>
      <c r="H43" s="54">
        <f t="shared" si="95"/>
        <v>-374811.4966</v>
      </c>
      <c r="I43" s="54">
        <f t="shared" si="95"/>
        <v>-146458.6997</v>
      </c>
      <c r="J43" s="54">
        <f t="shared" si="95"/>
        <v>-158040.3749</v>
      </c>
      <c r="K43" s="54">
        <f t="shared" si="95"/>
        <v>-169969.5004</v>
      </c>
      <c r="L43" s="54">
        <f t="shared" si="95"/>
        <v>-182256.4997</v>
      </c>
      <c r="M43" s="54">
        <f t="shared" si="95"/>
        <v>-194912.1089</v>
      </c>
      <c r="N43" s="54">
        <f t="shared" si="95"/>
        <v>-207947.3864</v>
      </c>
      <c r="O43" s="106">
        <f t="shared" si="95"/>
        <v>-965060.7753</v>
      </c>
      <c r="P43" s="41"/>
      <c r="Q43" s="50" t="s">
        <v>173</v>
      </c>
      <c r="R43" s="1"/>
      <c r="S43" s="1"/>
      <c r="T43" s="1"/>
      <c r="U43" s="54">
        <f t="shared" ref="U43:AD43" si="96">-U32</f>
        <v>-1131506.693</v>
      </c>
      <c r="V43" s="54">
        <f t="shared" si="96"/>
        <v>-1312956.594</v>
      </c>
      <c r="W43" s="54">
        <f t="shared" si="96"/>
        <v>-1352345.291</v>
      </c>
      <c r="X43" s="54">
        <f t="shared" si="96"/>
        <v>-532317.5927</v>
      </c>
      <c r="Y43" s="54">
        <f t="shared" si="96"/>
        <v>-574105.0622</v>
      </c>
      <c r="Z43" s="54">
        <f t="shared" si="96"/>
        <v>-617146.1558</v>
      </c>
      <c r="AA43" s="54">
        <f t="shared" si="96"/>
        <v>-661478.4822</v>
      </c>
      <c r="AB43" s="54">
        <f t="shared" si="96"/>
        <v>-707140.7784</v>
      </c>
      <c r="AC43" s="54">
        <f t="shared" si="96"/>
        <v>-754172.9435</v>
      </c>
      <c r="AD43" s="106">
        <f t="shared" si="96"/>
        <v>-3385064.829</v>
      </c>
      <c r="AE43" s="41"/>
      <c r="AF43" s="50" t="s">
        <v>173</v>
      </c>
      <c r="AG43" s="1"/>
      <c r="AH43" s="1"/>
      <c r="AI43" s="1"/>
      <c r="AJ43" s="54">
        <f t="shared" ref="AJ43:AS43" si="97">-AJ32</f>
        <v>-646219.972</v>
      </c>
      <c r="AK43" s="54">
        <f t="shared" si="97"/>
        <v>-754137.4311</v>
      </c>
      <c r="AL43" s="54">
        <f t="shared" si="97"/>
        <v>-776761.5541</v>
      </c>
      <c r="AM43" s="54">
        <f t="shared" si="97"/>
        <v>-308564.3009</v>
      </c>
      <c r="AN43" s="54">
        <f t="shared" si="97"/>
        <v>-332566.2329</v>
      </c>
      <c r="AO43" s="54">
        <f t="shared" si="97"/>
        <v>-357288.2229</v>
      </c>
      <c r="AP43" s="54">
        <f t="shared" si="97"/>
        <v>-382751.8726</v>
      </c>
      <c r="AQ43" s="54">
        <f t="shared" si="97"/>
        <v>-408979.4318</v>
      </c>
      <c r="AR43" s="54">
        <f t="shared" si="97"/>
        <v>-435993.8177</v>
      </c>
      <c r="AS43" s="106">
        <f t="shared" si="97"/>
        <v>-1874166.654</v>
      </c>
      <c r="AT43" s="41"/>
      <c r="AU43" s="50" t="s">
        <v>173</v>
      </c>
      <c r="AV43" s="1"/>
      <c r="AW43" s="1"/>
      <c r="AX43" s="1"/>
      <c r="AY43" s="54">
        <f t="shared" ref="AY43:BH43" si="98">-AY32</f>
        <v>-1073319.69</v>
      </c>
      <c r="AZ43" s="54">
        <f t="shared" si="98"/>
        <v>-1254337.379</v>
      </c>
      <c r="BA43" s="54">
        <f t="shared" si="98"/>
        <v>-1291967.501</v>
      </c>
      <c r="BB43" s="54">
        <f t="shared" si="98"/>
        <v>-514384.1689</v>
      </c>
      <c r="BC43" s="54">
        <f t="shared" si="98"/>
        <v>-554305.9646</v>
      </c>
      <c r="BD43" s="54">
        <f t="shared" si="98"/>
        <v>-595425.4143</v>
      </c>
      <c r="BE43" s="54">
        <f t="shared" si="98"/>
        <v>-637778.4474</v>
      </c>
      <c r="BF43" s="54">
        <f t="shared" si="98"/>
        <v>-681402.0715</v>
      </c>
      <c r="BG43" s="54">
        <f t="shared" si="98"/>
        <v>-726334.4044</v>
      </c>
      <c r="BH43" s="106">
        <f t="shared" si="98"/>
        <v>-3088378.152</v>
      </c>
    </row>
    <row r="44" ht="15.75" customHeight="1">
      <c r="A44" s="41"/>
      <c r="B44" s="103" t="s">
        <v>174</v>
      </c>
      <c r="C44" s="26"/>
      <c r="D44" s="26"/>
      <c r="E44" s="211">
        <f t="shared" ref="E44:O44" si="99">SUM(E40:E43)</f>
        <v>1807547.098</v>
      </c>
      <c r="F44" s="211">
        <f t="shared" si="99"/>
        <v>1673281.611</v>
      </c>
      <c r="G44" s="211">
        <f t="shared" si="99"/>
        <v>1476715.115</v>
      </c>
      <c r="H44" s="211">
        <f t="shared" si="99"/>
        <v>1249575.13</v>
      </c>
      <c r="I44" s="211">
        <f t="shared" si="99"/>
        <v>1228073.943</v>
      </c>
      <c r="J44" s="211">
        <f t="shared" si="99"/>
        <v>1192840.963</v>
      </c>
      <c r="K44" s="211">
        <f t="shared" si="99"/>
        <v>1142155.559</v>
      </c>
      <c r="L44" s="211">
        <f t="shared" si="99"/>
        <v>1074114.615</v>
      </c>
      <c r="M44" s="211">
        <f t="shared" si="99"/>
        <v>986613.9673</v>
      </c>
      <c r="N44" s="211">
        <f t="shared" si="99"/>
        <v>877327.9776</v>
      </c>
      <c r="O44" s="236">
        <f t="shared" si="99"/>
        <v>0</v>
      </c>
      <c r="P44" s="41"/>
      <c r="Q44" s="103" t="s">
        <v>174</v>
      </c>
      <c r="R44" s="26"/>
      <c r="S44" s="26"/>
      <c r="T44" s="211">
        <f t="shared" ref="T44:AD44" si="100">SUM(T40:T43)</f>
        <v>6492446.068</v>
      </c>
      <c r="U44" s="211">
        <f t="shared" si="100"/>
        <v>6010183.982</v>
      </c>
      <c r="V44" s="211">
        <f t="shared" si="100"/>
        <v>5298245.786</v>
      </c>
      <c r="W44" s="211">
        <f t="shared" si="100"/>
        <v>4475725.074</v>
      </c>
      <c r="X44" s="211">
        <f t="shared" si="100"/>
        <v>4390979.988</v>
      </c>
      <c r="Y44" s="211">
        <f t="shared" si="100"/>
        <v>4255972.925</v>
      </c>
      <c r="Z44" s="211">
        <f t="shared" si="100"/>
        <v>4064424.061</v>
      </c>
      <c r="AA44" s="211">
        <f t="shared" si="100"/>
        <v>3809387.985</v>
      </c>
      <c r="AB44" s="211">
        <f t="shared" si="100"/>
        <v>3483186.006</v>
      </c>
      <c r="AC44" s="211">
        <f t="shared" si="100"/>
        <v>3077331.663</v>
      </c>
      <c r="AD44" s="236">
        <f t="shared" si="100"/>
        <v>0</v>
      </c>
      <c r="AE44" s="41"/>
      <c r="AF44" s="103" t="s">
        <v>174</v>
      </c>
      <c r="AG44" s="26"/>
      <c r="AH44" s="26"/>
      <c r="AI44" s="211">
        <f t="shared" ref="AI44:AS44" si="101">SUM(AI40:AI43)</f>
        <v>3707930.622</v>
      </c>
      <c r="AJ44" s="211">
        <f t="shared" si="101"/>
        <v>3432503.712</v>
      </c>
      <c r="AK44" s="211">
        <f t="shared" si="101"/>
        <v>3021616.652</v>
      </c>
      <c r="AL44" s="211">
        <f t="shared" si="101"/>
        <v>2547016.763</v>
      </c>
      <c r="AM44" s="211">
        <f t="shared" si="101"/>
        <v>2493154.139</v>
      </c>
      <c r="AN44" s="211">
        <f t="shared" si="101"/>
        <v>2409903.32</v>
      </c>
      <c r="AO44" s="211">
        <f t="shared" si="101"/>
        <v>2293605.429</v>
      </c>
      <c r="AP44" s="211">
        <f t="shared" si="101"/>
        <v>2140214.099</v>
      </c>
      <c r="AQ44" s="211">
        <f t="shared" si="101"/>
        <v>1945256.077</v>
      </c>
      <c r="AR44" s="211">
        <f t="shared" si="101"/>
        <v>1703787.867</v>
      </c>
      <c r="AS44" s="236">
        <f t="shared" si="101"/>
        <v>0</v>
      </c>
      <c r="AT44" s="41"/>
      <c r="AU44" s="103" t="s">
        <v>174</v>
      </c>
      <c r="AV44" s="26"/>
      <c r="AW44" s="26"/>
      <c r="AX44" s="211">
        <f t="shared" ref="AX44:BH44" si="102">SUM(AX40:AX43)</f>
        <v>6158576.212</v>
      </c>
      <c r="AY44" s="211">
        <f t="shared" si="102"/>
        <v>5701114.143</v>
      </c>
      <c r="AZ44" s="211">
        <f t="shared" si="102"/>
        <v>5016888.178</v>
      </c>
      <c r="BA44" s="211">
        <f t="shared" si="102"/>
        <v>4226609.495</v>
      </c>
      <c r="BB44" s="211">
        <f t="shared" si="102"/>
        <v>4134886.275</v>
      </c>
      <c r="BC44" s="211">
        <f t="shared" si="102"/>
        <v>3994068.938</v>
      </c>
      <c r="BD44" s="211">
        <f t="shared" si="102"/>
        <v>3798050.418</v>
      </c>
      <c r="BE44" s="211">
        <f t="shared" si="102"/>
        <v>3540077.012</v>
      </c>
      <c r="BF44" s="211">
        <f t="shared" si="102"/>
        <v>3212682.642</v>
      </c>
      <c r="BG44" s="211">
        <f t="shared" si="102"/>
        <v>2807616.502</v>
      </c>
      <c r="BH44" s="236">
        <f t="shared" si="102"/>
        <v>0</v>
      </c>
    </row>
    <row r="45" ht="15.75" customHeight="1">
      <c r="A45" s="41"/>
      <c r="B45" s="50"/>
      <c r="C45" s="1"/>
      <c r="D45" s="1"/>
      <c r="E45" s="1"/>
      <c r="F45" s="54"/>
      <c r="G45" s="54"/>
      <c r="H45" s="54"/>
      <c r="I45" s="54"/>
      <c r="J45" s="54"/>
      <c r="K45" s="54"/>
      <c r="L45" s="54"/>
      <c r="M45" s="54"/>
      <c r="N45" s="54"/>
      <c r="O45" s="106"/>
      <c r="P45" s="41"/>
      <c r="Q45" s="50"/>
      <c r="R45" s="1"/>
      <c r="S45" s="1"/>
      <c r="T45" s="1"/>
      <c r="U45" s="54"/>
      <c r="V45" s="54"/>
      <c r="W45" s="54"/>
      <c r="X45" s="54"/>
      <c r="Y45" s="54"/>
      <c r="Z45" s="54"/>
      <c r="AA45" s="54"/>
      <c r="AB45" s="54"/>
      <c r="AC45" s="54"/>
      <c r="AD45" s="106"/>
      <c r="AE45" s="41"/>
      <c r="AF45" s="50"/>
      <c r="AG45" s="1"/>
      <c r="AH45" s="1"/>
      <c r="AI45" s="1"/>
      <c r="AJ45" s="54"/>
      <c r="AK45" s="54"/>
      <c r="AL45" s="54"/>
      <c r="AM45" s="54"/>
      <c r="AN45" s="54"/>
      <c r="AO45" s="54"/>
      <c r="AP45" s="54"/>
      <c r="AQ45" s="54"/>
      <c r="AR45" s="54"/>
      <c r="AS45" s="106"/>
      <c r="AT45" s="41"/>
      <c r="AU45" s="50"/>
      <c r="AV45" s="1"/>
      <c r="AW45" s="1"/>
      <c r="AX45" s="1"/>
      <c r="AY45" s="54"/>
      <c r="AZ45" s="54"/>
      <c r="BA45" s="54"/>
      <c r="BB45" s="54"/>
      <c r="BC45" s="54"/>
      <c r="BD45" s="54"/>
      <c r="BE45" s="54"/>
      <c r="BF45" s="54"/>
      <c r="BG45" s="54"/>
      <c r="BH45" s="106"/>
    </row>
    <row r="46" ht="15.75" customHeight="1">
      <c r="A46" s="41"/>
      <c r="B46" s="235" t="str">
        <f>B33</f>
        <v>1st hurdle</v>
      </c>
      <c r="C46" s="26"/>
      <c r="D46" s="26"/>
      <c r="E46" s="26"/>
      <c r="F46" s="211"/>
      <c r="G46" s="211"/>
      <c r="H46" s="211"/>
      <c r="I46" s="211"/>
      <c r="J46" s="211"/>
      <c r="K46" s="211"/>
      <c r="L46" s="211"/>
      <c r="M46" s="211"/>
      <c r="N46" s="211"/>
      <c r="O46" s="236"/>
      <c r="P46" s="41"/>
      <c r="Q46" s="235" t="str">
        <f>B46</f>
        <v>1st hurdle</v>
      </c>
      <c r="R46" s="26"/>
      <c r="S46" s="26"/>
      <c r="T46" s="26"/>
      <c r="U46" s="211"/>
      <c r="V46" s="211"/>
      <c r="W46" s="211"/>
      <c r="X46" s="211"/>
      <c r="Y46" s="211"/>
      <c r="Z46" s="211"/>
      <c r="AA46" s="211"/>
      <c r="AB46" s="211"/>
      <c r="AC46" s="211"/>
      <c r="AD46" s="236"/>
      <c r="AE46" s="41"/>
      <c r="AF46" s="235" t="str">
        <f>AF33</f>
        <v>1st hurdle</v>
      </c>
      <c r="AG46" s="26"/>
      <c r="AH46" s="26"/>
      <c r="AI46" s="26"/>
      <c r="AJ46" s="211"/>
      <c r="AK46" s="211"/>
      <c r="AL46" s="211"/>
      <c r="AM46" s="211"/>
      <c r="AN46" s="211"/>
      <c r="AO46" s="211"/>
      <c r="AP46" s="211"/>
      <c r="AQ46" s="211"/>
      <c r="AR46" s="211"/>
      <c r="AS46" s="236"/>
      <c r="AT46" s="41"/>
      <c r="AU46" s="235" t="str">
        <f>AU33</f>
        <v>1st hurdle</v>
      </c>
      <c r="AV46" s="26"/>
      <c r="AW46" s="26"/>
      <c r="AX46" s="26"/>
      <c r="AY46" s="211"/>
      <c r="AZ46" s="211"/>
      <c r="BA46" s="211"/>
      <c r="BB46" s="211"/>
      <c r="BC46" s="211"/>
      <c r="BD46" s="211"/>
      <c r="BE46" s="211"/>
      <c r="BF46" s="211"/>
      <c r="BG46" s="211"/>
      <c r="BH46" s="236"/>
    </row>
    <row r="47" ht="15.75" customHeight="1">
      <c r="A47" s="41"/>
      <c r="B47" s="50" t="str">
        <f t="shared" ref="B47:B51" si="107">B40</f>
        <v>Funding</v>
      </c>
      <c r="C47" s="1"/>
      <c r="D47" s="1"/>
      <c r="E47" s="54">
        <f t="shared" ref="E47:O47" si="103">E9</f>
        <v>1807547.098</v>
      </c>
      <c r="F47" s="54">
        <f t="shared" si="103"/>
        <v>0</v>
      </c>
      <c r="G47" s="54">
        <f t="shared" si="103"/>
        <v>0</v>
      </c>
      <c r="H47" s="54">
        <f t="shared" si="103"/>
        <v>0</v>
      </c>
      <c r="I47" s="54">
        <f t="shared" si="103"/>
        <v>0</v>
      </c>
      <c r="J47" s="54">
        <f t="shared" si="103"/>
        <v>0</v>
      </c>
      <c r="K47" s="54">
        <f t="shared" si="103"/>
        <v>0</v>
      </c>
      <c r="L47" s="54">
        <f t="shared" si="103"/>
        <v>0</v>
      </c>
      <c r="M47" s="54">
        <f t="shared" si="103"/>
        <v>0</v>
      </c>
      <c r="N47" s="54">
        <f t="shared" si="103"/>
        <v>0</v>
      </c>
      <c r="O47" s="106">
        <f t="shared" si="103"/>
        <v>0</v>
      </c>
      <c r="P47" s="41"/>
      <c r="Q47" s="50" t="str">
        <f t="shared" ref="Q47:Q51" si="109">Q40</f>
        <v>Funding</v>
      </c>
      <c r="R47" s="1"/>
      <c r="S47" s="1"/>
      <c r="T47" s="54">
        <f t="shared" ref="T47:AD47" si="104">T9</f>
        <v>6492446.068</v>
      </c>
      <c r="U47" s="54">
        <f t="shared" si="104"/>
        <v>0</v>
      </c>
      <c r="V47" s="54">
        <f t="shared" si="104"/>
        <v>0</v>
      </c>
      <c r="W47" s="54">
        <f t="shared" si="104"/>
        <v>0</v>
      </c>
      <c r="X47" s="54">
        <f t="shared" si="104"/>
        <v>0</v>
      </c>
      <c r="Y47" s="54">
        <f t="shared" si="104"/>
        <v>0</v>
      </c>
      <c r="Z47" s="54">
        <f t="shared" si="104"/>
        <v>0</v>
      </c>
      <c r="AA47" s="54">
        <f t="shared" si="104"/>
        <v>0</v>
      </c>
      <c r="AB47" s="54">
        <f t="shared" si="104"/>
        <v>0</v>
      </c>
      <c r="AC47" s="54">
        <f t="shared" si="104"/>
        <v>0</v>
      </c>
      <c r="AD47" s="106">
        <f t="shared" si="104"/>
        <v>0</v>
      </c>
      <c r="AE47" s="41"/>
      <c r="AF47" s="50" t="str">
        <f t="shared" ref="AF47:AF51" si="111">AF40</f>
        <v>Funding</v>
      </c>
      <c r="AG47" s="1"/>
      <c r="AH47" s="1"/>
      <c r="AI47" s="54">
        <f t="shared" ref="AI47:AS47" si="105">AI9</f>
        <v>3707930.622</v>
      </c>
      <c r="AJ47" s="54">
        <f t="shared" si="105"/>
        <v>0</v>
      </c>
      <c r="AK47" s="54">
        <f t="shared" si="105"/>
        <v>0</v>
      </c>
      <c r="AL47" s="54">
        <f t="shared" si="105"/>
        <v>0</v>
      </c>
      <c r="AM47" s="54">
        <f t="shared" si="105"/>
        <v>0</v>
      </c>
      <c r="AN47" s="54">
        <f t="shared" si="105"/>
        <v>0</v>
      </c>
      <c r="AO47" s="54">
        <f t="shared" si="105"/>
        <v>0</v>
      </c>
      <c r="AP47" s="54">
        <f t="shared" si="105"/>
        <v>0</v>
      </c>
      <c r="AQ47" s="54">
        <f t="shared" si="105"/>
        <v>0</v>
      </c>
      <c r="AR47" s="54">
        <f t="shared" si="105"/>
        <v>0</v>
      </c>
      <c r="AS47" s="106">
        <f t="shared" si="105"/>
        <v>0</v>
      </c>
      <c r="AT47" s="41"/>
      <c r="AU47" s="50" t="str">
        <f t="shared" ref="AU47:AU51" si="113">AU40</f>
        <v>Funding</v>
      </c>
      <c r="AV47" s="1"/>
      <c r="AW47" s="1"/>
      <c r="AX47" s="54">
        <f t="shared" ref="AX47:BH47" si="106">AX9</f>
        <v>6158576.212</v>
      </c>
      <c r="AY47" s="54">
        <f t="shared" si="106"/>
        <v>0</v>
      </c>
      <c r="AZ47" s="54">
        <f t="shared" si="106"/>
        <v>0</v>
      </c>
      <c r="BA47" s="54">
        <f t="shared" si="106"/>
        <v>0</v>
      </c>
      <c r="BB47" s="54">
        <f t="shared" si="106"/>
        <v>0</v>
      </c>
      <c r="BC47" s="54">
        <f t="shared" si="106"/>
        <v>0</v>
      </c>
      <c r="BD47" s="54">
        <f t="shared" si="106"/>
        <v>0</v>
      </c>
      <c r="BE47" s="54">
        <f t="shared" si="106"/>
        <v>0</v>
      </c>
      <c r="BF47" s="54">
        <f t="shared" si="106"/>
        <v>0</v>
      </c>
      <c r="BG47" s="54">
        <f t="shared" si="106"/>
        <v>0</v>
      </c>
      <c r="BH47" s="106">
        <f t="shared" si="106"/>
        <v>0</v>
      </c>
    </row>
    <row r="48" ht="15.75" customHeight="1">
      <c r="A48" s="41"/>
      <c r="B48" s="50" t="str">
        <f t="shared" si="107"/>
        <v>Beginning Balance</v>
      </c>
      <c r="C48" s="1"/>
      <c r="D48" s="1"/>
      <c r="E48" s="1"/>
      <c r="F48" s="54">
        <f t="shared" ref="F48:O48" si="108">E51</f>
        <v>1807547.098</v>
      </c>
      <c r="G48" s="54">
        <f t="shared" si="108"/>
        <v>1709432.553</v>
      </c>
      <c r="H48" s="54">
        <f t="shared" si="108"/>
        <v>1550669.802</v>
      </c>
      <c r="I48" s="54">
        <f t="shared" si="108"/>
        <v>1361938.682</v>
      </c>
      <c r="J48" s="54">
        <f t="shared" si="108"/>
        <v>1378912.624</v>
      </c>
      <c r="K48" s="54">
        <f t="shared" si="108"/>
        <v>1386341.764</v>
      </c>
      <c r="L48" s="54">
        <f t="shared" si="108"/>
        <v>1382733.275</v>
      </c>
      <c r="M48" s="54">
        <f t="shared" si="108"/>
        <v>1366404.769</v>
      </c>
      <c r="N48" s="54">
        <f t="shared" si="108"/>
        <v>1335461.232</v>
      </c>
      <c r="O48" s="106">
        <f t="shared" si="108"/>
        <v>1287769.193</v>
      </c>
      <c r="P48" s="41"/>
      <c r="Q48" s="50" t="str">
        <f t="shared" si="109"/>
        <v>Beginning Balance</v>
      </c>
      <c r="R48" s="1"/>
      <c r="S48" s="1"/>
      <c r="T48" s="1"/>
      <c r="U48" s="54">
        <f t="shared" ref="U48:AD48" si="110">T51</f>
        <v>6492446.068</v>
      </c>
      <c r="V48" s="54">
        <f t="shared" si="110"/>
        <v>6140032.903</v>
      </c>
      <c r="W48" s="54">
        <f t="shared" si="110"/>
        <v>5563880.258</v>
      </c>
      <c r="X48" s="54">
        <f t="shared" si="110"/>
        <v>4879200.598</v>
      </c>
      <c r="Y48" s="54">
        <f t="shared" si="110"/>
        <v>4932387.076</v>
      </c>
      <c r="Z48" s="54">
        <f t="shared" si="110"/>
        <v>4950168.463</v>
      </c>
      <c r="AA48" s="54">
        <f t="shared" si="110"/>
        <v>4927042.523</v>
      </c>
      <c r="AB48" s="54">
        <f t="shared" si="110"/>
        <v>4856809.144</v>
      </c>
      <c r="AC48" s="54">
        <f t="shared" si="110"/>
        <v>4732485.463</v>
      </c>
      <c r="AD48" s="106">
        <f t="shared" si="110"/>
        <v>4546210.775</v>
      </c>
      <c r="AE48" s="41"/>
      <c r="AF48" s="50" t="str">
        <f t="shared" si="111"/>
        <v>Beginning Balance</v>
      </c>
      <c r="AG48" s="1"/>
      <c r="AH48" s="1"/>
      <c r="AI48" s="1"/>
      <c r="AJ48" s="54">
        <f t="shared" ref="AJ48:AS48" si="112">AI51</f>
        <v>3707930.622</v>
      </c>
      <c r="AK48" s="54">
        <f t="shared" si="112"/>
        <v>3506662.325</v>
      </c>
      <c r="AL48" s="54">
        <f t="shared" si="112"/>
        <v>3173324.372</v>
      </c>
      <c r="AM48" s="54">
        <f t="shared" si="112"/>
        <v>2777361.743</v>
      </c>
      <c r="AN48" s="54">
        <f t="shared" si="112"/>
        <v>2802080.851</v>
      </c>
      <c r="AO48" s="54">
        <f t="shared" si="112"/>
        <v>2805764.32</v>
      </c>
      <c r="AP48" s="54">
        <f t="shared" si="112"/>
        <v>2785167.816</v>
      </c>
      <c r="AQ48" s="54">
        <f t="shared" si="112"/>
        <v>2736636.081</v>
      </c>
      <c r="AR48" s="54">
        <f t="shared" si="112"/>
        <v>2656052.979</v>
      </c>
      <c r="AS48" s="106">
        <f t="shared" si="112"/>
        <v>2538785.519</v>
      </c>
      <c r="AT48" s="41"/>
      <c r="AU48" s="50" t="str">
        <f t="shared" si="113"/>
        <v>Beginning Balance</v>
      </c>
      <c r="AV48" s="1"/>
      <c r="AW48" s="1"/>
      <c r="AX48" s="1"/>
      <c r="AY48" s="54">
        <f t="shared" ref="AY48:BH48" si="114">AX51</f>
        <v>6158576.212</v>
      </c>
      <c r="AZ48" s="54">
        <f t="shared" si="114"/>
        <v>5824285.667</v>
      </c>
      <c r="BA48" s="54">
        <f t="shared" si="114"/>
        <v>5268862.568</v>
      </c>
      <c r="BB48" s="54">
        <f t="shared" si="114"/>
        <v>4609158.575</v>
      </c>
      <c r="BC48" s="54">
        <f t="shared" si="114"/>
        <v>4647873.435</v>
      </c>
      <c r="BD48" s="54">
        <f t="shared" si="114"/>
        <v>4651312.283</v>
      </c>
      <c r="BE48" s="54">
        <f t="shared" si="114"/>
        <v>4614044.342</v>
      </c>
      <c r="BF48" s="54">
        <f t="shared" si="114"/>
        <v>4529951.216</v>
      </c>
      <c r="BG48" s="54">
        <f t="shared" si="114"/>
        <v>4392143.29</v>
      </c>
      <c r="BH48" s="106">
        <f t="shared" si="114"/>
        <v>4192866.081</v>
      </c>
    </row>
    <row r="49" ht="15.75" customHeight="1">
      <c r="A49" s="41"/>
      <c r="B49" s="50" t="str">
        <f t="shared" si="107"/>
        <v>Interest</v>
      </c>
      <c r="C49" s="59">
        <f>Assumptions!E73</f>
        <v>0.12</v>
      </c>
      <c r="D49" s="1"/>
      <c r="E49" s="1"/>
      <c r="F49" s="54">
        <f t="shared" ref="F49:O49" si="115">F48*$C49</f>
        <v>216905.6518</v>
      </c>
      <c r="G49" s="54">
        <f t="shared" si="115"/>
        <v>205131.9063</v>
      </c>
      <c r="H49" s="54">
        <f t="shared" si="115"/>
        <v>186080.3763</v>
      </c>
      <c r="I49" s="54">
        <f t="shared" si="115"/>
        <v>163432.6418</v>
      </c>
      <c r="J49" s="54">
        <f t="shared" si="115"/>
        <v>165469.5149</v>
      </c>
      <c r="K49" s="54">
        <f t="shared" si="115"/>
        <v>166361.0117</v>
      </c>
      <c r="L49" s="54">
        <f t="shared" si="115"/>
        <v>165927.993</v>
      </c>
      <c r="M49" s="54">
        <f t="shared" si="115"/>
        <v>163968.5722</v>
      </c>
      <c r="N49" s="54">
        <f t="shared" si="115"/>
        <v>160255.3478</v>
      </c>
      <c r="O49" s="106">
        <f t="shared" si="115"/>
        <v>154532.3032</v>
      </c>
      <c r="P49" s="41"/>
      <c r="Q49" s="50" t="str">
        <f t="shared" si="109"/>
        <v>Interest</v>
      </c>
      <c r="R49" s="59">
        <f>Assumptions!M73</f>
        <v>0.12</v>
      </c>
      <c r="S49" s="1"/>
      <c r="T49" s="1"/>
      <c r="U49" s="54">
        <f t="shared" ref="U49:AD49" si="116">U48*$R49</f>
        <v>779093.5282</v>
      </c>
      <c r="V49" s="54">
        <f t="shared" si="116"/>
        <v>736803.9484</v>
      </c>
      <c r="W49" s="54">
        <f t="shared" si="116"/>
        <v>667665.631</v>
      </c>
      <c r="X49" s="54">
        <f t="shared" si="116"/>
        <v>585504.0717</v>
      </c>
      <c r="Y49" s="54">
        <f t="shared" si="116"/>
        <v>591886.4492</v>
      </c>
      <c r="Z49" s="54">
        <f t="shared" si="116"/>
        <v>594020.2156</v>
      </c>
      <c r="AA49" s="54">
        <f t="shared" si="116"/>
        <v>591245.1028</v>
      </c>
      <c r="AB49" s="54">
        <f t="shared" si="116"/>
        <v>582817.0972</v>
      </c>
      <c r="AC49" s="54">
        <f t="shared" si="116"/>
        <v>567898.2555</v>
      </c>
      <c r="AD49" s="106">
        <f t="shared" si="116"/>
        <v>545545.2929</v>
      </c>
      <c r="AE49" s="41"/>
      <c r="AF49" s="50" t="str">
        <f t="shared" si="111"/>
        <v>Interest</v>
      </c>
      <c r="AG49" s="59">
        <f>Assumptions!U73</f>
        <v>0.12</v>
      </c>
      <c r="AH49" s="1"/>
      <c r="AI49" s="1"/>
      <c r="AJ49" s="54">
        <f t="shared" ref="AJ49:AS49" si="117">AJ48*$AG49</f>
        <v>444951.6746</v>
      </c>
      <c r="AK49" s="54">
        <f t="shared" si="117"/>
        <v>420799.4789</v>
      </c>
      <c r="AL49" s="54">
        <f t="shared" si="117"/>
        <v>380798.9247</v>
      </c>
      <c r="AM49" s="54">
        <f t="shared" si="117"/>
        <v>333283.4092</v>
      </c>
      <c r="AN49" s="54">
        <f t="shared" si="117"/>
        <v>336249.7021</v>
      </c>
      <c r="AO49" s="54">
        <f t="shared" si="117"/>
        <v>336691.7185</v>
      </c>
      <c r="AP49" s="54">
        <f t="shared" si="117"/>
        <v>334220.1379</v>
      </c>
      <c r="AQ49" s="54">
        <f t="shared" si="117"/>
        <v>328396.3298</v>
      </c>
      <c r="AR49" s="54">
        <f t="shared" si="117"/>
        <v>318726.3575</v>
      </c>
      <c r="AS49" s="106">
        <f t="shared" si="117"/>
        <v>304654.2623</v>
      </c>
      <c r="AT49" s="41"/>
      <c r="AU49" s="50" t="str">
        <f t="shared" si="113"/>
        <v>Interest</v>
      </c>
      <c r="AV49" s="59">
        <f>Assumptions!AC73</f>
        <v>0.12</v>
      </c>
      <c r="AW49" s="1"/>
      <c r="AX49" s="1"/>
      <c r="AY49" s="54">
        <f t="shared" ref="AY49:BH49" si="118">AY48*$AV49</f>
        <v>739029.1454</v>
      </c>
      <c r="AZ49" s="54">
        <f t="shared" si="118"/>
        <v>698914.28</v>
      </c>
      <c r="BA49" s="54">
        <f t="shared" si="118"/>
        <v>632263.5081</v>
      </c>
      <c r="BB49" s="54">
        <f t="shared" si="118"/>
        <v>553099.029</v>
      </c>
      <c r="BC49" s="54">
        <f t="shared" si="118"/>
        <v>557744.8122</v>
      </c>
      <c r="BD49" s="54">
        <f t="shared" si="118"/>
        <v>558157.4739</v>
      </c>
      <c r="BE49" s="54">
        <f t="shared" si="118"/>
        <v>553685.3211</v>
      </c>
      <c r="BF49" s="54">
        <f t="shared" si="118"/>
        <v>543594.1459</v>
      </c>
      <c r="BG49" s="54">
        <f t="shared" si="118"/>
        <v>527057.1949</v>
      </c>
      <c r="BH49" s="106">
        <f t="shared" si="118"/>
        <v>503143.9297</v>
      </c>
    </row>
    <row r="50" ht="15.75" customHeight="1">
      <c r="A50" s="41"/>
      <c r="B50" s="50" t="str">
        <f t="shared" si="107"/>
        <v>Repayment</v>
      </c>
      <c r="C50" s="1"/>
      <c r="D50" s="1"/>
      <c r="E50" s="1"/>
      <c r="F50" s="54">
        <f t="shared" ref="F50:O50" si="119">-F32-F33</f>
        <v>-315020.197</v>
      </c>
      <c r="G50" s="54">
        <f t="shared" si="119"/>
        <v>-363894.6569</v>
      </c>
      <c r="H50" s="54">
        <f t="shared" si="119"/>
        <v>-374811.4966</v>
      </c>
      <c r="I50" s="54">
        <f t="shared" si="119"/>
        <v>-146458.6997</v>
      </c>
      <c r="J50" s="54">
        <f t="shared" si="119"/>
        <v>-158040.3749</v>
      </c>
      <c r="K50" s="54">
        <f t="shared" si="119"/>
        <v>-169969.5004</v>
      </c>
      <c r="L50" s="54">
        <f t="shared" si="119"/>
        <v>-182256.4997</v>
      </c>
      <c r="M50" s="54">
        <f t="shared" si="119"/>
        <v>-194912.1089</v>
      </c>
      <c r="N50" s="54">
        <f t="shared" si="119"/>
        <v>-207947.3864</v>
      </c>
      <c r="O50" s="106">
        <f t="shared" si="119"/>
        <v>-1442301.497</v>
      </c>
      <c r="P50" s="41"/>
      <c r="Q50" s="50" t="str">
        <f t="shared" si="109"/>
        <v>Repayment</v>
      </c>
      <c r="R50" s="1"/>
      <c r="S50" s="1"/>
      <c r="T50" s="1"/>
      <c r="U50" s="54">
        <f t="shared" ref="U50:AD50" si="120">-U32-U33</f>
        <v>-1131506.693</v>
      </c>
      <c r="V50" s="54">
        <f t="shared" si="120"/>
        <v>-1312956.594</v>
      </c>
      <c r="W50" s="54">
        <f t="shared" si="120"/>
        <v>-1352345.291</v>
      </c>
      <c r="X50" s="54">
        <f t="shared" si="120"/>
        <v>-532317.5927</v>
      </c>
      <c r="Y50" s="54">
        <f t="shared" si="120"/>
        <v>-574105.0622</v>
      </c>
      <c r="Z50" s="54">
        <f t="shared" si="120"/>
        <v>-617146.1558</v>
      </c>
      <c r="AA50" s="54">
        <f t="shared" si="120"/>
        <v>-661478.4822</v>
      </c>
      <c r="AB50" s="54">
        <f t="shared" si="120"/>
        <v>-707140.7784</v>
      </c>
      <c r="AC50" s="54">
        <f t="shared" si="120"/>
        <v>-754172.9435</v>
      </c>
      <c r="AD50" s="106">
        <f t="shared" si="120"/>
        <v>-5091756.067</v>
      </c>
      <c r="AE50" s="41"/>
      <c r="AF50" s="50" t="str">
        <f t="shared" si="111"/>
        <v>Repayment</v>
      </c>
      <c r="AG50" s="1"/>
      <c r="AH50" s="1"/>
      <c r="AI50" s="1"/>
      <c r="AJ50" s="54">
        <f t="shared" ref="AJ50:AS50" si="121">-AJ32-AJ33</f>
        <v>-646219.972</v>
      </c>
      <c r="AK50" s="54">
        <f t="shared" si="121"/>
        <v>-754137.4311</v>
      </c>
      <c r="AL50" s="54">
        <f t="shared" si="121"/>
        <v>-776761.5541</v>
      </c>
      <c r="AM50" s="54">
        <f t="shared" si="121"/>
        <v>-308564.3009</v>
      </c>
      <c r="AN50" s="54">
        <f t="shared" si="121"/>
        <v>-332566.2329</v>
      </c>
      <c r="AO50" s="54">
        <f t="shared" si="121"/>
        <v>-357288.2229</v>
      </c>
      <c r="AP50" s="54">
        <f t="shared" si="121"/>
        <v>-382751.8726</v>
      </c>
      <c r="AQ50" s="54">
        <f t="shared" si="121"/>
        <v>-408979.4318</v>
      </c>
      <c r="AR50" s="54">
        <f t="shared" si="121"/>
        <v>-435993.8177</v>
      </c>
      <c r="AS50" s="106">
        <f t="shared" si="121"/>
        <v>-2843439.781</v>
      </c>
      <c r="AT50" s="41"/>
      <c r="AU50" s="50" t="str">
        <f t="shared" si="113"/>
        <v>Repayment</v>
      </c>
      <c r="AV50" s="1"/>
      <c r="AW50" s="1"/>
      <c r="AX50" s="1"/>
      <c r="AY50" s="54">
        <f t="shared" ref="AY50:BH50" si="122">-AY32-AY33</f>
        <v>-1073319.69</v>
      </c>
      <c r="AZ50" s="54">
        <f t="shared" si="122"/>
        <v>-1254337.379</v>
      </c>
      <c r="BA50" s="54">
        <f t="shared" si="122"/>
        <v>-1291967.501</v>
      </c>
      <c r="BB50" s="54">
        <f t="shared" si="122"/>
        <v>-514384.1689</v>
      </c>
      <c r="BC50" s="54">
        <f t="shared" si="122"/>
        <v>-554305.9646</v>
      </c>
      <c r="BD50" s="54">
        <f t="shared" si="122"/>
        <v>-595425.4143</v>
      </c>
      <c r="BE50" s="54">
        <f t="shared" si="122"/>
        <v>-637778.4474</v>
      </c>
      <c r="BF50" s="54">
        <f t="shared" si="122"/>
        <v>-681402.0715</v>
      </c>
      <c r="BG50" s="54">
        <f t="shared" si="122"/>
        <v>-726334.4044</v>
      </c>
      <c r="BH50" s="106">
        <f t="shared" si="122"/>
        <v>-4696010.011</v>
      </c>
    </row>
    <row r="51" ht="15.75" customHeight="1">
      <c r="A51" s="41"/>
      <c r="B51" s="103" t="str">
        <f t="shared" si="107"/>
        <v>Ending Balance</v>
      </c>
      <c r="C51" s="26"/>
      <c r="D51" s="26"/>
      <c r="E51" s="211">
        <f t="shared" ref="E51:O51" si="123">SUM(E47:E50)</f>
        <v>1807547.098</v>
      </c>
      <c r="F51" s="211">
        <f t="shared" si="123"/>
        <v>1709432.553</v>
      </c>
      <c r="G51" s="211">
        <f t="shared" si="123"/>
        <v>1550669.802</v>
      </c>
      <c r="H51" s="211">
        <f t="shared" si="123"/>
        <v>1361938.682</v>
      </c>
      <c r="I51" s="211">
        <f t="shared" si="123"/>
        <v>1378912.624</v>
      </c>
      <c r="J51" s="211">
        <f t="shared" si="123"/>
        <v>1386341.764</v>
      </c>
      <c r="K51" s="211">
        <f t="shared" si="123"/>
        <v>1382733.275</v>
      </c>
      <c r="L51" s="211">
        <f t="shared" si="123"/>
        <v>1366404.769</v>
      </c>
      <c r="M51" s="211">
        <f t="shared" si="123"/>
        <v>1335461.232</v>
      </c>
      <c r="N51" s="211">
        <f t="shared" si="123"/>
        <v>1287769.193</v>
      </c>
      <c r="O51" s="236">
        <f t="shared" si="123"/>
        <v>0</v>
      </c>
      <c r="P51" s="41"/>
      <c r="Q51" s="103" t="str">
        <f t="shared" si="109"/>
        <v>Ending Balance</v>
      </c>
      <c r="R51" s="26"/>
      <c r="S51" s="26"/>
      <c r="T51" s="211">
        <f t="shared" ref="T51:AD51" si="124">SUM(T47:T50)</f>
        <v>6492446.068</v>
      </c>
      <c r="U51" s="211">
        <f t="shared" si="124"/>
        <v>6140032.903</v>
      </c>
      <c r="V51" s="211">
        <f t="shared" si="124"/>
        <v>5563880.258</v>
      </c>
      <c r="W51" s="211">
        <f t="shared" si="124"/>
        <v>4879200.598</v>
      </c>
      <c r="X51" s="211">
        <f t="shared" si="124"/>
        <v>4932387.076</v>
      </c>
      <c r="Y51" s="211">
        <f t="shared" si="124"/>
        <v>4950168.463</v>
      </c>
      <c r="Z51" s="211">
        <f t="shared" si="124"/>
        <v>4927042.523</v>
      </c>
      <c r="AA51" s="211">
        <f t="shared" si="124"/>
        <v>4856809.144</v>
      </c>
      <c r="AB51" s="211">
        <f t="shared" si="124"/>
        <v>4732485.463</v>
      </c>
      <c r="AC51" s="211">
        <f t="shared" si="124"/>
        <v>4546210.775</v>
      </c>
      <c r="AD51" s="236">
        <f t="shared" si="124"/>
        <v>0</v>
      </c>
      <c r="AE51" s="41"/>
      <c r="AF51" s="103" t="str">
        <f t="shared" si="111"/>
        <v>Ending Balance</v>
      </c>
      <c r="AG51" s="26"/>
      <c r="AH51" s="26"/>
      <c r="AI51" s="211">
        <f t="shared" ref="AI51:AS51" si="125">SUM(AI47:AI50)</f>
        <v>3707930.622</v>
      </c>
      <c r="AJ51" s="211">
        <f t="shared" si="125"/>
        <v>3506662.325</v>
      </c>
      <c r="AK51" s="211">
        <f t="shared" si="125"/>
        <v>3173324.372</v>
      </c>
      <c r="AL51" s="211">
        <f t="shared" si="125"/>
        <v>2777361.743</v>
      </c>
      <c r="AM51" s="211">
        <f t="shared" si="125"/>
        <v>2802080.851</v>
      </c>
      <c r="AN51" s="211">
        <f t="shared" si="125"/>
        <v>2805764.32</v>
      </c>
      <c r="AO51" s="211">
        <f t="shared" si="125"/>
        <v>2785167.816</v>
      </c>
      <c r="AP51" s="211">
        <f t="shared" si="125"/>
        <v>2736636.081</v>
      </c>
      <c r="AQ51" s="211">
        <f t="shared" si="125"/>
        <v>2656052.979</v>
      </c>
      <c r="AR51" s="211">
        <f t="shared" si="125"/>
        <v>2538785.519</v>
      </c>
      <c r="AS51" s="236">
        <f t="shared" si="125"/>
        <v>0</v>
      </c>
      <c r="AT51" s="41"/>
      <c r="AU51" s="103" t="str">
        <f t="shared" si="113"/>
        <v>Ending Balance</v>
      </c>
      <c r="AV51" s="26"/>
      <c r="AW51" s="26"/>
      <c r="AX51" s="211">
        <f t="shared" ref="AX51:BH51" si="126">SUM(AX47:AX50)</f>
        <v>6158576.212</v>
      </c>
      <c r="AY51" s="211">
        <f t="shared" si="126"/>
        <v>5824285.667</v>
      </c>
      <c r="AZ51" s="211">
        <f t="shared" si="126"/>
        <v>5268862.568</v>
      </c>
      <c r="BA51" s="211">
        <f t="shared" si="126"/>
        <v>4609158.575</v>
      </c>
      <c r="BB51" s="211">
        <f t="shared" si="126"/>
        <v>4647873.435</v>
      </c>
      <c r="BC51" s="211">
        <f t="shared" si="126"/>
        <v>4651312.283</v>
      </c>
      <c r="BD51" s="211">
        <f t="shared" si="126"/>
        <v>4614044.342</v>
      </c>
      <c r="BE51" s="211">
        <f t="shared" si="126"/>
        <v>4529951.216</v>
      </c>
      <c r="BF51" s="211">
        <f t="shared" si="126"/>
        <v>4392143.29</v>
      </c>
      <c r="BG51" s="211">
        <f t="shared" si="126"/>
        <v>4192866.081</v>
      </c>
      <c r="BH51" s="236">
        <f t="shared" si="126"/>
        <v>0</v>
      </c>
    </row>
    <row r="52" ht="15.75" customHeight="1">
      <c r="A52" s="41"/>
      <c r="B52" s="50"/>
      <c r="C52" s="1"/>
      <c r="D52" s="1"/>
      <c r="E52" s="1"/>
      <c r="F52" s="54"/>
      <c r="G52" s="54"/>
      <c r="H52" s="54"/>
      <c r="I52" s="54"/>
      <c r="J52" s="54"/>
      <c r="K52" s="54"/>
      <c r="L52" s="54"/>
      <c r="M52" s="54"/>
      <c r="N52" s="54"/>
      <c r="O52" s="106"/>
      <c r="P52" s="41"/>
      <c r="Q52" s="50"/>
      <c r="R52" s="1"/>
      <c r="S52" s="1"/>
      <c r="T52" s="1"/>
      <c r="U52" s="54"/>
      <c r="V52" s="54"/>
      <c r="W52" s="54"/>
      <c r="X52" s="54"/>
      <c r="Y52" s="54"/>
      <c r="Z52" s="54"/>
      <c r="AA52" s="54"/>
      <c r="AB52" s="54"/>
      <c r="AC52" s="54"/>
      <c r="AD52" s="106"/>
      <c r="AE52" s="41"/>
      <c r="AF52" s="50"/>
      <c r="AG52" s="1"/>
      <c r="AH52" s="1"/>
      <c r="AI52" s="1"/>
      <c r="AJ52" s="54"/>
      <c r="AK52" s="54"/>
      <c r="AL52" s="54"/>
      <c r="AM52" s="54"/>
      <c r="AN52" s="54"/>
      <c r="AO52" s="54"/>
      <c r="AP52" s="54"/>
      <c r="AQ52" s="54"/>
      <c r="AR52" s="54"/>
      <c r="AS52" s="106"/>
      <c r="AT52" s="41"/>
      <c r="AU52" s="50"/>
      <c r="AV52" s="1"/>
      <c r="AW52" s="1"/>
      <c r="AX52" s="1"/>
      <c r="AY52" s="54"/>
      <c r="AZ52" s="54"/>
      <c r="BA52" s="54"/>
      <c r="BB52" s="54"/>
      <c r="BC52" s="54"/>
      <c r="BD52" s="54"/>
      <c r="BE52" s="54"/>
      <c r="BF52" s="54"/>
      <c r="BG52" s="54"/>
      <c r="BH52" s="106"/>
    </row>
    <row r="53" ht="15.75" customHeight="1">
      <c r="A53" s="41"/>
      <c r="B53" s="235" t="str">
        <f>B20</f>
        <v>2nd hurdle</v>
      </c>
      <c r="C53" s="26"/>
      <c r="D53" s="26"/>
      <c r="E53" s="26"/>
      <c r="F53" s="211"/>
      <c r="G53" s="211"/>
      <c r="H53" s="211"/>
      <c r="I53" s="211"/>
      <c r="J53" s="211"/>
      <c r="K53" s="211"/>
      <c r="L53" s="211"/>
      <c r="M53" s="211"/>
      <c r="N53" s="211"/>
      <c r="O53" s="236"/>
      <c r="P53" s="41"/>
      <c r="Q53" s="235" t="str">
        <f>B53</f>
        <v>2nd hurdle</v>
      </c>
      <c r="R53" s="26"/>
      <c r="S53" s="26"/>
      <c r="T53" s="26"/>
      <c r="U53" s="211"/>
      <c r="V53" s="211"/>
      <c r="W53" s="211"/>
      <c r="X53" s="211"/>
      <c r="Y53" s="211"/>
      <c r="Z53" s="211"/>
      <c r="AA53" s="211"/>
      <c r="AB53" s="211"/>
      <c r="AC53" s="211"/>
      <c r="AD53" s="236"/>
      <c r="AE53" s="41"/>
      <c r="AF53" s="235" t="str">
        <f>AF20</f>
        <v>2nd hurdle</v>
      </c>
      <c r="AG53" s="26"/>
      <c r="AH53" s="26"/>
      <c r="AI53" s="26"/>
      <c r="AJ53" s="211"/>
      <c r="AK53" s="211"/>
      <c r="AL53" s="211"/>
      <c r="AM53" s="211"/>
      <c r="AN53" s="211"/>
      <c r="AO53" s="211"/>
      <c r="AP53" s="211"/>
      <c r="AQ53" s="211"/>
      <c r="AR53" s="211"/>
      <c r="AS53" s="236"/>
      <c r="AT53" s="41"/>
      <c r="AU53" s="235" t="str">
        <f>AU20</f>
        <v>2nd hurdle</v>
      </c>
      <c r="AV53" s="26"/>
      <c r="AW53" s="26"/>
      <c r="AX53" s="26"/>
      <c r="AY53" s="211"/>
      <c r="AZ53" s="211"/>
      <c r="BA53" s="211"/>
      <c r="BB53" s="211"/>
      <c r="BC53" s="211"/>
      <c r="BD53" s="211"/>
      <c r="BE53" s="211"/>
      <c r="BF53" s="211"/>
      <c r="BG53" s="211"/>
      <c r="BH53" s="236"/>
    </row>
    <row r="54" ht="15.75" customHeight="1">
      <c r="A54" s="41"/>
      <c r="B54" s="50" t="str">
        <f t="shared" ref="B54:B58" si="131">B47</f>
        <v>Funding</v>
      </c>
      <c r="C54" s="1"/>
      <c r="D54" s="1"/>
      <c r="E54" s="54">
        <f t="shared" ref="E54:O54" si="127">E9</f>
        <v>1807547.098</v>
      </c>
      <c r="F54" s="54">
        <f t="shared" si="127"/>
        <v>0</v>
      </c>
      <c r="G54" s="54">
        <f t="shared" si="127"/>
        <v>0</v>
      </c>
      <c r="H54" s="54">
        <f t="shared" si="127"/>
        <v>0</v>
      </c>
      <c r="I54" s="54">
        <f t="shared" si="127"/>
        <v>0</v>
      </c>
      <c r="J54" s="54">
        <f t="shared" si="127"/>
        <v>0</v>
      </c>
      <c r="K54" s="54">
        <f t="shared" si="127"/>
        <v>0</v>
      </c>
      <c r="L54" s="54">
        <f t="shared" si="127"/>
        <v>0</v>
      </c>
      <c r="M54" s="54">
        <f t="shared" si="127"/>
        <v>0</v>
      </c>
      <c r="N54" s="54">
        <f t="shared" si="127"/>
        <v>0</v>
      </c>
      <c r="O54" s="106">
        <f t="shared" si="127"/>
        <v>0</v>
      </c>
      <c r="P54" s="41"/>
      <c r="Q54" s="50" t="str">
        <f t="shared" ref="Q54:Q58" si="133">Q47</f>
        <v>Funding</v>
      </c>
      <c r="R54" s="1"/>
      <c r="S54" s="1"/>
      <c r="T54" s="54">
        <f t="shared" ref="T54:AD54" si="128">T9</f>
        <v>6492446.068</v>
      </c>
      <c r="U54" s="54">
        <f t="shared" si="128"/>
        <v>0</v>
      </c>
      <c r="V54" s="54">
        <f t="shared" si="128"/>
        <v>0</v>
      </c>
      <c r="W54" s="54">
        <f t="shared" si="128"/>
        <v>0</v>
      </c>
      <c r="X54" s="54">
        <f t="shared" si="128"/>
        <v>0</v>
      </c>
      <c r="Y54" s="54">
        <f t="shared" si="128"/>
        <v>0</v>
      </c>
      <c r="Z54" s="54">
        <f t="shared" si="128"/>
        <v>0</v>
      </c>
      <c r="AA54" s="54">
        <f t="shared" si="128"/>
        <v>0</v>
      </c>
      <c r="AB54" s="54">
        <f t="shared" si="128"/>
        <v>0</v>
      </c>
      <c r="AC54" s="54">
        <f t="shared" si="128"/>
        <v>0</v>
      </c>
      <c r="AD54" s="106">
        <f t="shared" si="128"/>
        <v>0</v>
      </c>
      <c r="AE54" s="41"/>
      <c r="AF54" s="50" t="str">
        <f t="shared" ref="AF54:AF58" si="135">AF47</f>
        <v>Funding</v>
      </c>
      <c r="AG54" s="1"/>
      <c r="AH54" s="1"/>
      <c r="AI54" s="54">
        <f t="shared" ref="AI54:AS54" si="129">AI9</f>
        <v>3707930.622</v>
      </c>
      <c r="AJ54" s="54">
        <f t="shared" si="129"/>
        <v>0</v>
      </c>
      <c r="AK54" s="54">
        <f t="shared" si="129"/>
        <v>0</v>
      </c>
      <c r="AL54" s="54">
        <f t="shared" si="129"/>
        <v>0</v>
      </c>
      <c r="AM54" s="54">
        <f t="shared" si="129"/>
        <v>0</v>
      </c>
      <c r="AN54" s="54">
        <f t="shared" si="129"/>
        <v>0</v>
      </c>
      <c r="AO54" s="54">
        <f t="shared" si="129"/>
        <v>0</v>
      </c>
      <c r="AP54" s="54">
        <f t="shared" si="129"/>
        <v>0</v>
      </c>
      <c r="AQ54" s="54">
        <f t="shared" si="129"/>
        <v>0</v>
      </c>
      <c r="AR54" s="54">
        <f t="shared" si="129"/>
        <v>0</v>
      </c>
      <c r="AS54" s="106">
        <f t="shared" si="129"/>
        <v>0</v>
      </c>
      <c r="AT54" s="41"/>
      <c r="AU54" s="50" t="str">
        <f t="shared" ref="AU54:AU58" si="137">AU47</f>
        <v>Funding</v>
      </c>
      <c r="AV54" s="1"/>
      <c r="AW54" s="1"/>
      <c r="AX54" s="54">
        <f t="shared" ref="AX54:BH54" si="130">AX9</f>
        <v>6158576.212</v>
      </c>
      <c r="AY54" s="54">
        <f t="shared" si="130"/>
        <v>0</v>
      </c>
      <c r="AZ54" s="54">
        <f t="shared" si="130"/>
        <v>0</v>
      </c>
      <c r="BA54" s="54">
        <f t="shared" si="130"/>
        <v>0</v>
      </c>
      <c r="BB54" s="54">
        <f t="shared" si="130"/>
        <v>0</v>
      </c>
      <c r="BC54" s="54">
        <f t="shared" si="130"/>
        <v>0</v>
      </c>
      <c r="BD54" s="54">
        <f t="shared" si="130"/>
        <v>0</v>
      </c>
      <c r="BE54" s="54">
        <f t="shared" si="130"/>
        <v>0</v>
      </c>
      <c r="BF54" s="54">
        <f t="shared" si="130"/>
        <v>0</v>
      </c>
      <c r="BG54" s="54">
        <f t="shared" si="130"/>
        <v>0</v>
      </c>
      <c r="BH54" s="106">
        <f t="shared" si="130"/>
        <v>0</v>
      </c>
    </row>
    <row r="55" ht="15.75" customHeight="1">
      <c r="A55" s="41"/>
      <c r="B55" s="50" t="str">
        <f t="shared" si="131"/>
        <v>Beginning Balance</v>
      </c>
      <c r="C55" s="1"/>
      <c r="D55" s="1"/>
      <c r="E55" s="1"/>
      <c r="F55" s="54">
        <f t="shared" ref="F55:O55" si="132">E58</f>
        <v>1807547.098</v>
      </c>
      <c r="G55" s="54">
        <f t="shared" si="132"/>
        <v>1745583.495</v>
      </c>
      <c r="H55" s="54">
        <f t="shared" si="132"/>
        <v>1626070.527</v>
      </c>
      <c r="I55" s="54">
        <f t="shared" si="132"/>
        <v>1478908.904</v>
      </c>
      <c r="J55" s="54">
        <f t="shared" si="132"/>
        <v>1539497.451</v>
      </c>
      <c r="K55" s="54">
        <f t="shared" si="132"/>
        <v>1596986.72</v>
      </c>
      <c r="L55" s="54">
        <f t="shared" si="132"/>
        <v>1650595.36</v>
      </c>
      <c r="M55" s="54">
        <f t="shared" si="132"/>
        <v>1699422.211</v>
      </c>
      <c r="N55" s="54">
        <f t="shared" si="132"/>
        <v>1742429.211</v>
      </c>
      <c r="O55" s="106">
        <f t="shared" si="132"/>
        <v>1778421.914</v>
      </c>
      <c r="P55" s="41"/>
      <c r="Q55" s="50" t="str">
        <f t="shared" si="133"/>
        <v>Beginning Balance</v>
      </c>
      <c r="R55" s="1"/>
      <c r="S55" s="1"/>
      <c r="T55" s="1"/>
      <c r="U55" s="54">
        <f t="shared" ref="U55:AD55" si="134">T58</f>
        <v>6492446.068</v>
      </c>
      <c r="V55" s="54">
        <f t="shared" si="134"/>
        <v>6269881.825</v>
      </c>
      <c r="W55" s="54">
        <f t="shared" si="134"/>
        <v>5834708.686</v>
      </c>
      <c r="X55" s="54">
        <f t="shared" si="134"/>
        <v>5299222.611</v>
      </c>
      <c r="Y55" s="54">
        <f t="shared" si="134"/>
        <v>5508796.184</v>
      </c>
      <c r="Z55" s="54">
        <f t="shared" si="134"/>
        <v>5705922.587</v>
      </c>
      <c r="AA55" s="54">
        <f t="shared" si="134"/>
        <v>5887605.594</v>
      </c>
      <c r="AB55" s="54">
        <f t="shared" si="134"/>
        <v>6050391.895</v>
      </c>
      <c r="AC55" s="54">
        <f t="shared" si="134"/>
        <v>6190305.981</v>
      </c>
      <c r="AD55" s="106">
        <f t="shared" si="134"/>
        <v>6302775.875</v>
      </c>
      <c r="AE55" s="41"/>
      <c r="AF55" s="50" t="str">
        <f t="shared" si="135"/>
        <v>Beginning Balance</v>
      </c>
      <c r="AG55" s="1"/>
      <c r="AH55" s="1"/>
      <c r="AI55" s="1"/>
      <c r="AJ55" s="54">
        <f t="shared" ref="AJ55:AS55" si="136">AI58</f>
        <v>3707930.622</v>
      </c>
      <c r="AK55" s="54">
        <f t="shared" si="136"/>
        <v>3580820.937</v>
      </c>
      <c r="AL55" s="54">
        <f t="shared" si="136"/>
        <v>3327998.437</v>
      </c>
      <c r="AM55" s="54">
        <f t="shared" si="136"/>
        <v>3017156.664</v>
      </c>
      <c r="AN55" s="54">
        <f t="shared" si="136"/>
        <v>3130994.296</v>
      </c>
      <c r="AO55" s="54">
        <f t="shared" si="136"/>
        <v>3236767.265</v>
      </c>
      <c r="AP55" s="54">
        <f t="shared" si="136"/>
        <v>3332626.459</v>
      </c>
      <c r="AQ55" s="54">
        <f t="shared" si="136"/>
        <v>3416442.291</v>
      </c>
      <c r="AR55" s="54">
        <f t="shared" si="136"/>
        <v>3485764.78</v>
      </c>
      <c r="AS55" s="106">
        <f t="shared" si="136"/>
        <v>3537778.031</v>
      </c>
      <c r="AT55" s="41"/>
      <c r="AU55" s="50" t="str">
        <f t="shared" si="137"/>
        <v>Beginning Balance</v>
      </c>
      <c r="AV55" s="1"/>
      <c r="AW55" s="1"/>
      <c r="AX55" s="1"/>
      <c r="AY55" s="54">
        <f t="shared" ref="AY55:BH55" si="138">AX58</f>
        <v>6158576.212</v>
      </c>
      <c r="AZ55" s="54">
        <f t="shared" si="138"/>
        <v>5947457.191</v>
      </c>
      <c r="BA55" s="54">
        <f t="shared" si="138"/>
        <v>5525763.819</v>
      </c>
      <c r="BB55" s="54">
        <f t="shared" si="138"/>
        <v>5007403.253</v>
      </c>
      <c r="BC55" s="54">
        <f t="shared" si="138"/>
        <v>5194055.539</v>
      </c>
      <c r="BD55" s="54">
        <f t="shared" si="138"/>
        <v>5366917.35</v>
      </c>
      <c r="BE55" s="54">
        <f t="shared" si="138"/>
        <v>5522860.364</v>
      </c>
      <c r="BF55" s="54">
        <f t="shared" si="138"/>
        <v>5658282.368</v>
      </c>
      <c r="BG55" s="54">
        <f t="shared" si="138"/>
        <v>5769039.828</v>
      </c>
      <c r="BH55" s="106">
        <f t="shared" si="138"/>
        <v>5850371</v>
      </c>
    </row>
    <row r="56" ht="15.75" customHeight="1">
      <c r="A56" s="41"/>
      <c r="B56" s="50" t="str">
        <f t="shared" si="131"/>
        <v>Interest</v>
      </c>
      <c r="C56" s="59">
        <f>Assumptions!E74</f>
        <v>0.14</v>
      </c>
      <c r="D56" s="1"/>
      <c r="E56" s="1"/>
      <c r="F56" s="54">
        <f t="shared" ref="F56:O56" si="139">F55*$C56</f>
        <v>253056.5937</v>
      </c>
      <c r="G56" s="54">
        <f t="shared" si="139"/>
        <v>244381.6893</v>
      </c>
      <c r="H56" s="54">
        <f t="shared" si="139"/>
        <v>227649.8738</v>
      </c>
      <c r="I56" s="54">
        <f t="shared" si="139"/>
        <v>207047.2466</v>
      </c>
      <c r="J56" s="54">
        <f t="shared" si="139"/>
        <v>215529.6432</v>
      </c>
      <c r="K56" s="54">
        <f t="shared" si="139"/>
        <v>223578.1407</v>
      </c>
      <c r="L56" s="54">
        <f t="shared" si="139"/>
        <v>231083.3504</v>
      </c>
      <c r="M56" s="54">
        <f t="shared" si="139"/>
        <v>237919.1095</v>
      </c>
      <c r="N56" s="54">
        <f t="shared" si="139"/>
        <v>243940.0896</v>
      </c>
      <c r="O56" s="106">
        <f t="shared" si="139"/>
        <v>248979.068</v>
      </c>
      <c r="P56" s="41"/>
      <c r="Q56" s="50" t="str">
        <f t="shared" si="133"/>
        <v>Interest</v>
      </c>
      <c r="R56" s="59">
        <f>Assumptions!M74</f>
        <v>0.14</v>
      </c>
      <c r="S56" s="1"/>
      <c r="T56" s="1"/>
      <c r="U56" s="54">
        <f t="shared" ref="U56:AD56" si="140">U55*$R56</f>
        <v>908942.4495</v>
      </c>
      <c r="V56" s="54">
        <f t="shared" si="140"/>
        <v>877783.4554</v>
      </c>
      <c r="W56" s="54">
        <f t="shared" si="140"/>
        <v>816859.2161</v>
      </c>
      <c r="X56" s="54">
        <f t="shared" si="140"/>
        <v>741891.1655</v>
      </c>
      <c r="Y56" s="54">
        <f t="shared" si="140"/>
        <v>771231.4657</v>
      </c>
      <c r="Z56" s="54">
        <f t="shared" si="140"/>
        <v>798829.1622</v>
      </c>
      <c r="AA56" s="54">
        <f t="shared" si="140"/>
        <v>824264.7831</v>
      </c>
      <c r="AB56" s="54">
        <f t="shared" si="140"/>
        <v>847054.8653</v>
      </c>
      <c r="AC56" s="54">
        <f t="shared" si="140"/>
        <v>866642.8374</v>
      </c>
      <c r="AD56" s="106">
        <f t="shared" si="140"/>
        <v>882388.6226</v>
      </c>
      <c r="AE56" s="41"/>
      <c r="AF56" s="50" t="str">
        <f t="shared" si="135"/>
        <v>Interest</v>
      </c>
      <c r="AG56" s="59">
        <f>Assumptions!U74</f>
        <v>0.14</v>
      </c>
      <c r="AH56" s="1"/>
      <c r="AI56" s="1"/>
      <c r="AJ56" s="54">
        <f t="shared" ref="AJ56:AS56" si="141">AJ55*$AG56</f>
        <v>519110.2871</v>
      </c>
      <c r="AK56" s="54">
        <f t="shared" si="141"/>
        <v>501314.9312</v>
      </c>
      <c r="AL56" s="54">
        <f t="shared" si="141"/>
        <v>465919.7812</v>
      </c>
      <c r="AM56" s="54">
        <f t="shared" si="141"/>
        <v>422401.933</v>
      </c>
      <c r="AN56" s="54">
        <f t="shared" si="141"/>
        <v>438339.2015</v>
      </c>
      <c r="AO56" s="54">
        <f t="shared" si="141"/>
        <v>453147.4171</v>
      </c>
      <c r="AP56" s="54">
        <f t="shared" si="141"/>
        <v>466567.7043</v>
      </c>
      <c r="AQ56" s="54">
        <f t="shared" si="141"/>
        <v>478301.9207</v>
      </c>
      <c r="AR56" s="54">
        <f t="shared" si="141"/>
        <v>488007.0691</v>
      </c>
      <c r="AS56" s="106">
        <f t="shared" si="141"/>
        <v>495288.9243</v>
      </c>
      <c r="AT56" s="41"/>
      <c r="AU56" s="50" t="str">
        <f t="shared" si="137"/>
        <v>Interest</v>
      </c>
      <c r="AV56" s="59">
        <f>Assumptions!AC74</f>
        <v>0.14</v>
      </c>
      <c r="AW56" s="1"/>
      <c r="AX56" s="1"/>
      <c r="AY56" s="54">
        <f t="shared" ref="AY56:BH56" si="142">AY55*$AV56</f>
        <v>862200.6697</v>
      </c>
      <c r="AZ56" s="54">
        <f t="shared" si="142"/>
        <v>832644.0067</v>
      </c>
      <c r="BA56" s="54">
        <f t="shared" si="142"/>
        <v>773606.9346</v>
      </c>
      <c r="BB56" s="54">
        <f t="shared" si="142"/>
        <v>701036.4554</v>
      </c>
      <c r="BC56" s="54">
        <f t="shared" si="142"/>
        <v>727167.7755</v>
      </c>
      <c r="BD56" s="54">
        <f t="shared" si="142"/>
        <v>751368.429</v>
      </c>
      <c r="BE56" s="54">
        <f t="shared" si="142"/>
        <v>773200.451</v>
      </c>
      <c r="BF56" s="54">
        <f t="shared" si="142"/>
        <v>792159.5315</v>
      </c>
      <c r="BG56" s="54">
        <f t="shared" si="142"/>
        <v>807665.5759</v>
      </c>
      <c r="BH56" s="106">
        <f t="shared" si="142"/>
        <v>819051.9399</v>
      </c>
    </row>
    <row r="57" ht="15.75" customHeight="1">
      <c r="A57" s="41"/>
      <c r="B57" s="50" t="str">
        <f t="shared" si="131"/>
        <v>Repayment</v>
      </c>
      <c r="C57" s="1"/>
      <c r="D57" s="1"/>
      <c r="E57" s="68"/>
      <c r="F57" s="54">
        <f t="shared" ref="F57:O57" si="143">-F32-F33-F34</f>
        <v>-315020.197</v>
      </c>
      <c r="G57" s="54">
        <f t="shared" si="143"/>
        <v>-363894.6569</v>
      </c>
      <c r="H57" s="54">
        <f t="shared" si="143"/>
        <v>-374811.4966</v>
      </c>
      <c r="I57" s="54">
        <f t="shared" si="143"/>
        <v>-146458.6997</v>
      </c>
      <c r="J57" s="54">
        <f t="shared" si="143"/>
        <v>-158040.3749</v>
      </c>
      <c r="K57" s="54">
        <f t="shared" si="143"/>
        <v>-169969.5004</v>
      </c>
      <c r="L57" s="54">
        <f t="shared" si="143"/>
        <v>-182256.4997</v>
      </c>
      <c r="M57" s="54">
        <f t="shared" si="143"/>
        <v>-194912.1089</v>
      </c>
      <c r="N57" s="54">
        <f t="shared" si="143"/>
        <v>-207947.3864</v>
      </c>
      <c r="O57" s="106">
        <f t="shared" si="143"/>
        <v>-2027400.982</v>
      </c>
      <c r="P57" s="41"/>
      <c r="Q57" s="50" t="str">
        <f t="shared" si="133"/>
        <v>Repayment</v>
      </c>
      <c r="R57" s="1"/>
      <c r="S57" s="1"/>
      <c r="T57" s="68"/>
      <c r="U57" s="54">
        <f t="shared" ref="U57:AD57" si="144">-U32-U33-U34</f>
        <v>-1131506.693</v>
      </c>
      <c r="V57" s="54">
        <f t="shared" si="144"/>
        <v>-1312956.594</v>
      </c>
      <c r="W57" s="54">
        <f t="shared" si="144"/>
        <v>-1352345.291</v>
      </c>
      <c r="X57" s="54">
        <f t="shared" si="144"/>
        <v>-532317.5927</v>
      </c>
      <c r="Y57" s="54">
        <f t="shared" si="144"/>
        <v>-574105.0622</v>
      </c>
      <c r="Z57" s="54">
        <f t="shared" si="144"/>
        <v>-617146.1558</v>
      </c>
      <c r="AA57" s="54">
        <f t="shared" si="144"/>
        <v>-661478.4822</v>
      </c>
      <c r="AB57" s="54">
        <f t="shared" si="144"/>
        <v>-707140.7784</v>
      </c>
      <c r="AC57" s="54">
        <f t="shared" si="144"/>
        <v>-754172.9435</v>
      </c>
      <c r="AD57" s="106">
        <f t="shared" si="144"/>
        <v>-7185164.498</v>
      </c>
      <c r="AE57" s="41"/>
      <c r="AF57" s="50" t="str">
        <f t="shared" si="135"/>
        <v>Repayment</v>
      </c>
      <c r="AG57" s="1"/>
      <c r="AH57" s="1"/>
      <c r="AI57" s="68"/>
      <c r="AJ57" s="54">
        <f t="shared" ref="AJ57:AS57" si="145">-AJ32-AJ33-AJ34</f>
        <v>-646219.972</v>
      </c>
      <c r="AK57" s="54">
        <f t="shared" si="145"/>
        <v>-754137.4311</v>
      </c>
      <c r="AL57" s="54">
        <f t="shared" si="145"/>
        <v>-776761.5541</v>
      </c>
      <c r="AM57" s="54">
        <f t="shared" si="145"/>
        <v>-308564.3009</v>
      </c>
      <c r="AN57" s="54">
        <f t="shared" si="145"/>
        <v>-332566.2329</v>
      </c>
      <c r="AO57" s="54">
        <f t="shared" si="145"/>
        <v>-357288.2229</v>
      </c>
      <c r="AP57" s="54">
        <f t="shared" si="145"/>
        <v>-382751.8726</v>
      </c>
      <c r="AQ57" s="54">
        <f t="shared" si="145"/>
        <v>-408979.4318</v>
      </c>
      <c r="AR57" s="54">
        <f t="shared" si="145"/>
        <v>-435993.8177</v>
      </c>
      <c r="AS57" s="106">
        <f t="shared" si="145"/>
        <v>-4033066.955</v>
      </c>
      <c r="AT57" s="41"/>
      <c r="AU57" s="50" t="str">
        <f t="shared" si="137"/>
        <v>Repayment</v>
      </c>
      <c r="AV57" s="1"/>
      <c r="AW57" s="1"/>
      <c r="AX57" s="68"/>
      <c r="AY57" s="54">
        <f t="shared" ref="AY57:BH57" si="146">-AY32-AY33-AY34</f>
        <v>-1073319.69</v>
      </c>
      <c r="AZ57" s="54">
        <f t="shared" si="146"/>
        <v>-1254337.379</v>
      </c>
      <c r="BA57" s="54">
        <f t="shared" si="146"/>
        <v>-1291967.501</v>
      </c>
      <c r="BB57" s="54">
        <f t="shared" si="146"/>
        <v>-514384.1689</v>
      </c>
      <c r="BC57" s="54">
        <f t="shared" si="146"/>
        <v>-554305.9646</v>
      </c>
      <c r="BD57" s="54">
        <f t="shared" si="146"/>
        <v>-595425.4143</v>
      </c>
      <c r="BE57" s="54">
        <f t="shared" si="146"/>
        <v>-637778.4474</v>
      </c>
      <c r="BF57" s="54">
        <f t="shared" si="146"/>
        <v>-681402.0715</v>
      </c>
      <c r="BG57" s="54">
        <f t="shared" si="146"/>
        <v>-726334.4044</v>
      </c>
      <c r="BH57" s="106">
        <f t="shared" si="146"/>
        <v>-6669422.94</v>
      </c>
    </row>
    <row r="58" ht="15.75" customHeight="1">
      <c r="A58" s="41"/>
      <c r="B58" s="103" t="str">
        <f t="shared" si="131"/>
        <v>Ending Balance</v>
      </c>
      <c r="C58" s="26"/>
      <c r="D58" s="26"/>
      <c r="E58" s="211">
        <f t="shared" ref="E58:O58" si="147">SUM(E54:E57)</f>
        <v>1807547.098</v>
      </c>
      <c r="F58" s="211">
        <f t="shared" si="147"/>
        <v>1745583.495</v>
      </c>
      <c r="G58" s="211">
        <f t="shared" si="147"/>
        <v>1626070.527</v>
      </c>
      <c r="H58" s="211">
        <f t="shared" si="147"/>
        <v>1478908.904</v>
      </c>
      <c r="I58" s="211">
        <f t="shared" si="147"/>
        <v>1539497.451</v>
      </c>
      <c r="J58" s="211">
        <f t="shared" si="147"/>
        <v>1596986.72</v>
      </c>
      <c r="K58" s="211">
        <f t="shared" si="147"/>
        <v>1650595.36</v>
      </c>
      <c r="L58" s="211">
        <f t="shared" si="147"/>
        <v>1699422.211</v>
      </c>
      <c r="M58" s="211">
        <f t="shared" si="147"/>
        <v>1742429.211</v>
      </c>
      <c r="N58" s="211">
        <f t="shared" si="147"/>
        <v>1778421.914</v>
      </c>
      <c r="O58" s="236">
        <f t="shared" si="147"/>
        <v>0</v>
      </c>
      <c r="P58" s="41"/>
      <c r="Q58" s="103" t="str">
        <f t="shared" si="133"/>
        <v>Ending Balance</v>
      </c>
      <c r="R58" s="26"/>
      <c r="S58" s="26"/>
      <c r="T58" s="211">
        <f t="shared" ref="T58:AD58" si="148">SUM(T54:T57)</f>
        <v>6492446.068</v>
      </c>
      <c r="U58" s="211">
        <f t="shared" si="148"/>
        <v>6269881.825</v>
      </c>
      <c r="V58" s="211">
        <f t="shared" si="148"/>
        <v>5834708.686</v>
      </c>
      <c r="W58" s="211">
        <f t="shared" si="148"/>
        <v>5299222.611</v>
      </c>
      <c r="X58" s="211">
        <f t="shared" si="148"/>
        <v>5508796.184</v>
      </c>
      <c r="Y58" s="211">
        <f t="shared" si="148"/>
        <v>5705922.587</v>
      </c>
      <c r="Z58" s="211">
        <f t="shared" si="148"/>
        <v>5887605.594</v>
      </c>
      <c r="AA58" s="211">
        <f t="shared" si="148"/>
        <v>6050391.895</v>
      </c>
      <c r="AB58" s="211">
        <f t="shared" si="148"/>
        <v>6190305.981</v>
      </c>
      <c r="AC58" s="211">
        <f t="shared" si="148"/>
        <v>6302775.875</v>
      </c>
      <c r="AD58" s="236">
        <f t="shared" si="148"/>
        <v>0</v>
      </c>
      <c r="AE58" s="41"/>
      <c r="AF58" s="103" t="str">
        <f t="shared" si="135"/>
        <v>Ending Balance</v>
      </c>
      <c r="AG58" s="26"/>
      <c r="AH58" s="26"/>
      <c r="AI58" s="211">
        <f t="shared" ref="AI58:AS58" si="149">SUM(AI54:AI57)</f>
        <v>3707930.622</v>
      </c>
      <c r="AJ58" s="211">
        <f t="shared" si="149"/>
        <v>3580820.937</v>
      </c>
      <c r="AK58" s="211">
        <f t="shared" si="149"/>
        <v>3327998.437</v>
      </c>
      <c r="AL58" s="211">
        <f t="shared" si="149"/>
        <v>3017156.664</v>
      </c>
      <c r="AM58" s="211">
        <f t="shared" si="149"/>
        <v>3130994.296</v>
      </c>
      <c r="AN58" s="211">
        <f t="shared" si="149"/>
        <v>3236767.265</v>
      </c>
      <c r="AO58" s="211">
        <f t="shared" si="149"/>
        <v>3332626.459</v>
      </c>
      <c r="AP58" s="211">
        <f t="shared" si="149"/>
        <v>3416442.291</v>
      </c>
      <c r="AQ58" s="211">
        <f t="shared" si="149"/>
        <v>3485764.78</v>
      </c>
      <c r="AR58" s="211">
        <f t="shared" si="149"/>
        <v>3537778.031</v>
      </c>
      <c r="AS58" s="236">
        <f t="shared" si="149"/>
        <v>0</v>
      </c>
      <c r="AT58" s="41"/>
      <c r="AU58" s="103" t="str">
        <f t="shared" si="137"/>
        <v>Ending Balance</v>
      </c>
      <c r="AV58" s="26"/>
      <c r="AW58" s="26"/>
      <c r="AX58" s="211">
        <f t="shared" ref="AX58:BH58" si="150">SUM(AX54:AX57)</f>
        <v>6158576.212</v>
      </c>
      <c r="AY58" s="211">
        <f t="shared" si="150"/>
        <v>5947457.191</v>
      </c>
      <c r="AZ58" s="211">
        <f t="shared" si="150"/>
        <v>5525763.819</v>
      </c>
      <c r="BA58" s="211">
        <f t="shared" si="150"/>
        <v>5007403.253</v>
      </c>
      <c r="BB58" s="211">
        <f t="shared" si="150"/>
        <v>5194055.539</v>
      </c>
      <c r="BC58" s="211">
        <f t="shared" si="150"/>
        <v>5366917.35</v>
      </c>
      <c r="BD58" s="211">
        <f t="shared" si="150"/>
        <v>5522860.364</v>
      </c>
      <c r="BE58" s="211">
        <f t="shared" si="150"/>
        <v>5658282.368</v>
      </c>
      <c r="BF58" s="211">
        <f t="shared" si="150"/>
        <v>5769039.828</v>
      </c>
      <c r="BG58" s="211">
        <f t="shared" si="150"/>
        <v>5850371</v>
      </c>
      <c r="BH58" s="236">
        <f t="shared" si="150"/>
        <v>0</v>
      </c>
    </row>
    <row r="59" ht="15.75" customHeight="1">
      <c r="A59" s="41"/>
      <c r="B59" s="50"/>
      <c r="C59" s="1"/>
      <c r="D59" s="1"/>
      <c r="E59" s="1"/>
      <c r="F59" s="54"/>
      <c r="G59" s="54"/>
      <c r="H59" s="54"/>
      <c r="I59" s="54"/>
      <c r="J59" s="54"/>
      <c r="K59" s="54"/>
      <c r="L59" s="54"/>
      <c r="M59" s="54"/>
      <c r="N59" s="54"/>
      <c r="O59" s="106"/>
      <c r="P59" s="41"/>
      <c r="Q59" s="50"/>
      <c r="R59" s="1"/>
      <c r="S59" s="1"/>
      <c r="T59" s="1"/>
      <c r="U59" s="54"/>
      <c r="V59" s="54"/>
      <c r="W59" s="54"/>
      <c r="X59" s="54"/>
      <c r="Y59" s="54"/>
      <c r="Z59" s="54"/>
      <c r="AA59" s="54"/>
      <c r="AB59" s="54"/>
      <c r="AC59" s="54"/>
      <c r="AD59" s="106"/>
      <c r="AE59" s="41"/>
      <c r="AF59" s="50"/>
      <c r="AG59" s="1"/>
      <c r="AH59" s="1"/>
      <c r="AI59" s="1"/>
      <c r="AJ59" s="54"/>
      <c r="AK59" s="54"/>
      <c r="AL59" s="54"/>
      <c r="AM59" s="54"/>
      <c r="AN59" s="54"/>
      <c r="AO59" s="54"/>
      <c r="AP59" s="54"/>
      <c r="AQ59" s="54"/>
      <c r="AR59" s="54"/>
      <c r="AS59" s="106"/>
      <c r="AT59" s="41"/>
      <c r="AU59" s="50"/>
      <c r="AV59" s="1"/>
      <c r="AW59" s="1"/>
      <c r="AX59" s="1"/>
      <c r="AY59" s="54"/>
      <c r="AZ59" s="54"/>
      <c r="BA59" s="54"/>
      <c r="BB59" s="54"/>
      <c r="BC59" s="54"/>
      <c r="BD59" s="54"/>
      <c r="BE59" s="54"/>
      <c r="BF59" s="54"/>
      <c r="BG59" s="54"/>
      <c r="BH59" s="106"/>
    </row>
    <row r="60" ht="15.75" customHeight="1">
      <c r="A60" s="41"/>
      <c r="B60" s="50"/>
      <c r="C60" s="1"/>
      <c r="D60" s="1"/>
      <c r="E60" s="1"/>
      <c r="F60" s="54"/>
      <c r="G60" s="54"/>
      <c r="H60" s="54"/>
      <c r="I60" s="54"/>
      <c r="J60" s="54"/>
      <c r="K60" s="54"/>
      <c r="L60" s="54"/>
      <c r="M60" s="54"/>
      <c r="N60" s="54"/>
      <c r="O60" s="106"/>
      <c r="P60" s="41"/>
      <c r="Q60" s="50"/>
      <c r="R60" s="1"/>
      <c r="S60" s="1"/>
      <c r="T60" s="1"/>
      <c r="U60" s="54"/>
      <c r="V60" s="54"/>
      <c r="W60" s="54"/>
      <c r="X60" s="54"/>
      <c r="Y60" s="54"/>
      <c r="Z60" s="54"/>
      <c r="AA60" s="54"/>
      <c r="AB60" s="54"/>
      <c r="AC60" s="54"/>
      <c r="AD60" s="106"/>
      <c r="AE60" s="41"/>
      <c r="AF60" s="50"/>
      <c r="AG60" s="1"/>
      <c r="AH60" s="1"/>
      <c r="AI60" s="1"/>
      <c r="AJ60" s="54"/>
      <c r="AK60" s="54"/>
      <c r="AL60" s="54"/>
      <c r="AM60" s="54"/>
      <c r="AN60" s="54"/>
      <c r="AO60" s="54"/>
      <c r="AP60" s="54"/>
      <c r="AQ60" s="54"/>
      <c r="AR60" s="54"/>
      <c r="AS60" s="106"/>
      <c r="AT60" s="41"/>
      <c r="AU60" s="50"/>
      <c r="AV60" s="1"/>
      <c r="AW60" s="1"/>
      <c r="AX60" s="1"/>
      <c r="AY60" s="54"/>
      <c r="AZ60" s="54"/>
      <c r="BA60" s="54"/>
      <c r="BB60" s="54"/>
      <c r="BC60" s="54"/>
      <c r="BD60" s="54"/>
      <c r="BE60" s="54"/>
      <c r="BF60" s="54"/>
      <c r="BG60" s="54"/>
      <c r="BH60" s="106"/>
    </row>
    <row r="61" ht="15.75" customHeight="1">
      <c r="A61" s="41"/>
      <c r="B61" s="235" t="s">
        <v>175</v>
      </c>
      <c r="C61" s="240" t="s">
        <v>176</v>
      </c>
      <c r="D61" s="240" t="s">
        <v>127</v>
      </c>
      <c r="E61" s="26"/>
      <c r="F61" s="211"/>
      <c r="G61" s="211"/>
      <c r="H61" s="211"/>
      <c r="I61" s="211"/>
      <c r="J61" s="211"/>
      <c r="K61" s="211"/>
      <c r="L61" s="211"/>
      <c r="M61" s="211"/>
      <c r="N61" s="211"/>
      <c r="O61" s="236"/>
      <c r="P61" s="41"/>
      <c r="Q61" s="235" t="s">
        <v>175</v>
      </c>
      <c r="R61" s="240" t="s">
        <v>176</v>
      </c>
      <c r="S61" s="240" t="s">
        <v>127</v>
      </c>
      <c r="T61" s="26"/>
      <c r="U61" s="211"/>
      <c r="V61" s="211"/>
      <c r="W61" s="211"/>
      <c r="X61" s="211"/>
      <c r="Y61" s="211"/>
      <c r="Z61" s="211"/>
      <c r="AA61" s="211"/>
      <c r="AB61" s="211"/>
      <c r="AC61" s="211"/>
      <c r="AD61" s="236"/>
      <c r="AE61" s="41"/>
      <c r="AF61" s="235" t="s">
        <v>175</v>
      </c>
      <c r="AG61" s="240" t="s">
        <v>176</v>
      </c>
      <c r="AH61" s="240" t="s">
        <v>127</v>
      </c>
      <c r="AI61" s="26"/>
      <c r="AJ61" s="211"/>
      <c r="AK61" s="211"/>
      <c r="AL61" s="211"/>
      <c r="AM61" s="211"/>
      <c r="AN61" s="211"/>
      <c r="AO61" s="211"/>
      <c r="AP61" s="211"/>
      <c r="AQ61" s="211"/>
      <c r="AR61" s="211"/>
      <c r="AS61" s="236"/>
      <c r="AT61" s="41"/>
      <c r="AU61" s="235" t="s">
        <v>175</v>
      </c>
      <c r="AV61" s="240" t="s">
        <v>176</v>
      </c>
      <c r="AW61" s="240" t="s">
        <v>127</v>
      </c>
      <c r="AX61" s="26"/>
      <c r="AY61" s="211"/>
      <c r="AZ61" s="211"/>
      <c r="BA61" s="211"/>
      <c r="BB61" s="211"/>
      <c r="BC61" s="211"/>
      <c r="BD61" s="211"/>
      <c r="BE61" s="211"/>
      <c r="BF61" s="211"/>
      <c r="BG61" s="211"/>
      <c r="BH61" s="236"/>
    </row>
    <row r="62" ht="15.75" customHeight="1">
      <c r="A62" s="41"/>
      <c r="B62" s="50" t="s">
        <v>177</v>
      </c>
      <c r="C62" s="137">
        <f t="shared" ref="C62:C65" si="155">-SUM(F62:O62)/E62</f>
        <v>7.415177253</v>
      </c>
      <c r="D62" s="32">
        <f t="shared" ref="D62:D65" si="156">IRR(E62:O62)</f>
        <v>0.2817936294</v>
      </c>
      <c r="E62" s="54">
        <f t="shared" ref="E62:E64" si="157">-E7</f>
        <v>-40167.71329</v>
      </c>
      <c r="F62" s="54">
        <f t="shared" ref="F62:O62" si="151">F22</f>
        <v>7000.448823</v>
      </c>
      <c r="G62" s="54">
        <f t="shared" si="151"/>
        <v>8086.54793</v>
      </c>
      <c r="H62" s="54">
        <f t="shared" si="151"/>
        <v>8329.144368</v>
      </c>
      <c r="I62" s="54">
        <f t="shared" si="151"/>
        <v>3254.63777</v>
      </c>
      <c r="J62" s="54">
        <f t="shared" si="151"/>
        <v>3512.008331</v>
      </c>
      <c r="K62" s="54">
        <f t="shared" si="151"/>
        <v>3777.100009</v>
      </c>
      <c r="L62" s="54">
        <f t="shared" si="151"/>
        <v>4050.144437</v>
      </c>
      <c r="M62" s="54">
        <f t="shared" si="151"/>
        <v>4331.380198</v>
      </c>
      <c r="N62" s="54">
        <f t="shared" si="151"/>
        <v>4621.053032</v>
      </c>
      <c r="O62" s="106">
        <f t="shared" si="151"/>
        <v>250888.249</v>
      </c>
      <c r="P62" s="41"/>
      <c r="Q62" s="50" t="s">
        <v>177</v>
      </c>
      <c r="R62" s="137">
        <f t="shared" ref="R62:R65" si="159">-SUM(U62:AD62)/T62</f>
        <v>7.556718813</v>
      </c>
      <c r="S62" s="32">
        <f t="shared" ref="S62:S65" si="160">IRR(T62:AD62)</f>
        <v>0.2843806319</v>
      </c>
      <c r="T62" s="54">
        <f t="shared" ref="T62:T64" si="161">-T7</f>
        <v>-144276.5793</v>
      </c>
      <c r="U62" s="54">
        <f t="shared" ref="U62:AD62" si="152">U22</f>
        <v>25144.59318</v>
      </c>
      <c r="V62" s="54">
        <f t="shared" si="152"/>
        <v>29176.81319</v>
      </c>
      <c r="W62" s="54">
        <f t="shared" si="152"/>
        <v>30052.11759</v>
      </c>
      <c r="X62" s="54">
        <f t="shared" si="152"/>
        <v>11829.27984</v>
      </c>
      <c r="Y62" s="54">
        <f t="shared" si="152"/>
        <v>12757.89027</v>
      </c>
      <c r="Z62" s="54">
        <f t="shared" si="152"/>
        <v>13714.35902</v>
      </c>
      <c r="AA62" s="54">
        <f t="shared" si="152"/>
        <v>14699.52183</v>
      </c>
      <c r="AB62" s="54">
        <f t="shared" si="152"/>
        <v>15714.23952</v>
      </c>
      <c r="AC62" s="54">
        <f t="shared" si="152"/>
        <v>16759.39874</v>
      </c>
      <c r="AD62" s="106">
        <f t="shared" si="152"/>
        <v>920409.3278</v>
      </c>
      <c r="AE62" s="41"/>
      <c r="AF62" s="50" t="s">
        <v>177</v>
      </c>
      <c r="AG62" s="137">
        <f t="shared" ref="AG62:AG65" si="163">-SUM(AJ62:AS62)/AI62</f>
        <v>8.345379413</v>
      </c>
      <c r="AH62" s="32">
        <f t="shared" ref="AH62:AH65" si="164">IRR(AI62:AS62)</f>
        <v>0.2967167695</v>
      </c>
      <c r="AI62" s="54">
        <f t="shared" ref="AI62:AI64" si="165">-AI7</f>
        <v>-82398.45827</v>
      </c>
      <c r="AJ62" s="54">
        <f t="shared" ref="AJ62:AS62" si="153">AJ22</f>
        <v>14360.44382</v>
      </c>
      <c r="AK62" s="54">
        <f t="shared" si="153"/>
        <v>16758.60958</v>
      </c>
      <c r="AL62" s="54">
        <f t="shared" si="153"/>
        <v>17261.36787</v>
      </c>
      <c r="AM62" s="54">
        <f t="shared" si="153"/>
        <v>6856.984465</v>
      </c>
      <c r="AN62" s="54">
        <f t="shared" si="153"/>
        <v>7390.360732</v>
      </c>
      <c r="AO62" s="54">
        <f t="shared" si="153"/>
        <v>7939.738287</v>
      </c>
      <c r="AP62" s="54">
        <f t="shared" si="153"/>
        <v>8505.597169</v>
      </c>
      <c r="AQ62" s="54">
        <f t="shared" si="153"/>
        <v>9088.431817</v>
      </c>
      <c r="AR62" s="54">
        <f t="shared" si="153"/>
        <v>9688.751505</v>
      </c>
      <c r="AS62" s="106">
        <f t="shared" si="153"/>
        <v>589796.112</v>
      </c>
      <c r="AT62" s="41"/>
      <c r="AU62" s="50" t="s">
        <v>177</v>
      </c>
      <c r="AV62" s="137">
        <f t="shared" ref="AV62:AV65" si="167">-SUM(AY62:BH62)/AX62</f>
        <v>8.381361621</v>
      </c>
      <c r="AW62" s="32">
        <f t="shared" ref="AW62:AW65" si="168">IRR(AX62:BH62)</f>
        <v>0.297334333</v>
      </c>
      <c r="AX62" s="54">
        <f t="shared" ref="AX62:AX64" si="169">-AX7</f>
        <v>-136857.2492</v>
      </c>
      <c r="AY62" s="54">
        <f t="shared" ref="AY62:BH62" si="154">AY22</f>
        <v>23851.54868</v>
      </c>
      <c r="AZ62" s="54">
        <f t="shared" si="154"/>
        <v>27874.16398</v>
      </c>
      <c r="BA62" s="54">
        <f t="shared" si="154"/>
        <v>28710.3889</v>
      </c>
      <c r="BB62" s="54">
        <f t="shared" si="154"/>
        <v>11430.75931</v>
      </c>
      <c r="BC62" s="54">
        <f t="shared" si="154"/>
        <v>12317.91033</v>
      </c>
      <c r="BD62" s="54">
        <f t="shared" si="154"/>
        <v>13231.67587</v>
      </c>
      <c r="BE62" s="54">
        <f t="shared" si="154"/>
        <v>14172.85439</v>
      </c>
      <c r="BF62" s="54">
        <f t="shared" si="154"/>
        <v>15142.26826</v>
      </c>
      <c r="BG62" s="54">
        <f t="shared" si="154"/>
        <v>16140.76454</v>
      </c>
      <c r="BH62" s="106">
        <f t="shared" si="154"/>
        <v>984177.7614</v>
      </c>
    </row>
    <row r="63" ht="15.75" customHeight="1">
      <c r="A63" s="41"/>
      <c r="B63" s="50" t="s">
        <v>178</v>
      </c>
      <c r="C63" s="137">
        <f t="shared" si="155"/>
        <v>7.415177253</v>
      </c>
      <c r="D63" s="32">
        <f t="shared" si="156"/>
        <v>0.2817936294</v>
      </c>
      <c r="E63" s="54">
        <f t="shared" si="157"/>
        <v>-160670.8532</v>
      </c>
      <c r="F63" s="54">
        <f t="shared" ref="F63:O63" si="158">F29</f>
        <v>28001.79529</v>
      </c>
      <c r="G63" s="54">
        <f t="shared" si="158"/>
        <v>32346.19172</v>
      </c>
      <c r="H63" s="54">
        <f t="shared" si="158"/>
        <v>33316.57747</v>
      </c>
      <c r="I63" s="54">
        <f t="shared" si="158"/>
        <v>13018.55108</v>
      </c>
      <c r="J63" s="54">
        <f t="shared" si="158"/>
        <v>14048.03333</v>
      </c>
      <c r="K63" s="54">
        <f t="shared" si="158"/>
        <v>15108.40004</v>
      </c>
      <c r="L63" s="54">
        <f t="shared" si="158"/>
        <v>16200.57775</v>
      </c>
      <c r="M63" s="54">
        <f t="shared" si="158"/>
        <v>17325.52079</v>
      </c>
      <c r="N63" s="54">
        <f t="shared" si="158"/>
        <v>18484.21213</v>
      </c>
      <c r="O63" s="106">
        <f t="shared" si="158"/>
        <v>1003552.996</v>
      </c>
      <c r="P63" s="41"/>
      <c r="Q63" s="50" t="s">
        <v>178</v>
      </c>
      <c r="R63" s="137">
        <f t="shared" si="159"/>
        <v>7.556718813</v>
      </c>
      <c r="S63" s="32">
        <f t="shared" si="160"/>
        <v>0.2843806319</v>
      </c>
      <c r="T63" s="54">
        <f t="shared" si="161"/>
        <v>-577106.3172</v>
      </c>
      <c r="U63" s="54">
        <f t="shared" ref="U63:AD63" si="162">U29</f>
        <v>100578.3727</v>
      </c>
      <c r="V63" s="54">
        <f t="shared" si="162"/>
        <v>116707.2528</v>
      </c>
      <c r="W63" s="54">
        <f t="shared" si="162"/>
        <v>120208.4703</v>
      </c>
      <c r="X63" s="54">
        <f t="shared" si="162"/>
        <v>47317.11935</v>
      </c>
      <c r="Y63" s="54">
        <f t="shared" si="162"/>
        <v>51031.56109</v>
      </c>
      <c r="Z63" s="54">
        <f t="shared" si="162"/>
        <v>54857.43607</v>
      </c>
      <c r="AA63" s="54">
        <f t="shared" si="162"/>
        <v>58798.08731</v>
      </c>
      <c r="AB63" s="54">
        <f t="shared" si="162"/>
        <v>62856.95808</v>
      </c>
      <c r="AC63" s="54">
        <f t="shared" si="162"/>
        <v>67037.59498</v>
      </c>
      <c r="AD63" s="106">
        <f t="shared" si="162"/>
        <v>3681637.311</v>
      </c>
      <c r="AE63" s="41"/>
      <c r="AF63" s="50" t="s">
        <v>178</v>
      </c>
      <c r="AG63" s="137">
        <f t="shared" si="163"/>
        <v>8.345379413</v>
      </c>
      <c r="AH63" s="32">
        <f t="shared" si="164"/>
        <v>0.2967167695</v>
      </c>
      <c r="AI63" s="54">
        <f t="shared" si="165"/>
        <v>-329593.8331</v>
      </c>
      <c r="AJ63" s="54">
        <f t="shared" ref="AJ63:AS63" si="166">AJ29</f>
        <v>57441.77529</v>
      </c>
      <c r="AK63" s="54">
        <f t="shared" si="166"/>
        <v>67034.43832</v>
      </c>
      <c r="AL63" s="54">
        <f t="shared" si="166"/>
        <v>69045.47147</v>
      </c>
      <c r="AM63" s="54">
        <f t="shared" si="166"/>
        <v>27427.93786</v>
      </c>
      <c r="AN63" s="54">
        <f t="shared" si="166"/>
        <v>29561.44293</v>
      </c>
      <c r="AO63" s="54">
        <f t="shared" si="166"/>
        <v>31758.95315</v>
      </c>
      <c r="AP63" s="54">
        <f t="shared" si="166"/>
        <v>34022.38867</v>
      </c>
      <c r="AQ63" s="54">
        <f t="shared" si="166"/>
        <v>36353.72727</v>
      </c>
      <c r="AR63" s="54">
        <f t="shared" si="166"/>
        <v>38755.00602</v>
      </c>
      <c r="AS63" s="106">
        <f t="shared" si="166"/>
        <v>2359184.448</v>
      </c>
      <c r="AT63" s="41"/>
      <c r="AU63" s="50" t="s">
        <v>178</v>
      </c>
      <c r="AV63" s="137">
        <f t="shared" si="167"/>
        <v>8.381361621</v>
      </c>
      <c r="AW63" s="32">
        <f t="shared" si="168"/>
        <v>0.297334333</v>
      </c>
      <c r="AX63" s="54">
        <f t="shared" si="169"/>
        <v>-547428.9966</v>
      </c>
      <c r="AY63" s="54">
        <f t="shared" ref="AY63:BH63" si="170">AY29</f>
        <v>95406.19471</v>
      </c>
      <c r="AZ63" s="54">
        <f t="shared" si="170"/>
        <v>111496.6559</v>
      </c>
      <c r="BA63" s="54">
        <f t="shared" si="170"/>
        <v>114841.5556</v>
      </c>
      <c r="BB63" s="54">
        <f t="shared" si="170"/>
        <v>45723.03723</v>
      </c>
      <c r="BC63" s="54">
        <f t="shared" si="170"/>
        <v>49271.6413</v>
      </c>
      <c r="BD63" s="54">
        <f t="shared" si="170"/>
        <v>52926.70349</v>
      </c>
      <c r="BE63" s="54">
        <f t="shared" si="170"/>
        <v>56691.41755</v>
      </c>
      <c r="BF63" s="54">
        <f t="shared" si="170"/>
        <v>60569.07303</v>
      </c>
      <c r="BG63" s="54">
        <f t="shared" si="170"/>
        <v>64563.05817</v>
      </c>
      <c r="BH63" s="106">
        <f t="shared" si="170"/>
        <v>3936711.046</v>
      </c>
    </row>
    <row r="64" ht="15.75" customHeight="1">
      <c r="A64" s="41"/>
      <c r="B64" s="50" t="s">
        <v>158</v>
      </c>
      <c r="C64" s="137">
        <f t="shared" si="155"/>
        <v>3.264710173</v>
      </c>
      <c r="D64" s="32">
        <f t="shared" si="156"/>
        <v>0.1839461841</v>
      </c>
      <c r="E64" s="54">
        <f t="shared" si="157"/>
        <v>-1807547.098</v>
      </c>
      <c r="F64" s="54">
        <f t="shared" ref="F64:O64" si="171">F36</f>
        <v>315020.197</v>
      </c>
      <c r="G64" s="54">
        <f t="shared" si="171"/>
        <v>363894.6569</v>
      </c>
      <c r="H64" s="54">
        <f t="shared" si="171"/>
        <v>374811.4966</v>
      </c>
      <c r="I64" s="54">
        <f t="shared" si="171"/>
        <v>146458.6997</v>
      </c>
      <c r="J64" s="54">
        <f t="shared" si="171"/>
        <v>158040.3749</v>
      </c>
      <c r="K64" s="54">
        <f t="shared" si="171"/>
        <v>169969.5004</v>
      </c>
      <c r="L64" s="54">
        <f t="shared" si="171"/>
        <v>182256.4997</v>
      </c>
      <c r="M64" s="54">
        <f t="shared" si="171"/>
        <v>194912.1089</v>
      </c>
      <c r="N64" s="54">
        <f t="shared" si="171"/>
        <v>207947.3864</v>
      </c>
      <c r="O64" s="106">
        <f t="shared" si="171"/>
        <v>3787806.478</v>
      </c>
      <c r="P64" s="41"/>
      <c r="Q64" s="50" t="s">
        <v>158</v>
      </c>
      <c r="R64" s="137">
        <f t="shared" si="159"/>
        <v>3.288802473</v>
      </c>
      <c r="S64" s="32">
        <f t="shared" si="160"/>
        <v>0.1852073779</v>
      </c>
      <c r="T64" s="54">
        <f t="shared" si="161"/>
        <v>-6492446.068</v>
      </c>
      <c r="U64" s="54">
        <f t="shared" ref="U64:AD64" si="172">U36</f>
        <v>1131506.693</v>
      </c>
      <c r="V64" s="54">
        <f t="shared" si="172"/>
        <v>1312956.594</v>
      </c>
      <c r="W64" s="54">
        <f t="shared" si="172"/>
        <v>1352345.291</v>
      </c>
      <c r="X64" s="54">
        <f t="shared" si="172"/>
        <v>532317.5927</v>
      </c>
      <c r="Y64" s="54">
        <f t="shared" si="172"/>
        <v>574105.0622</v>
      </c>
      <c r="Z64" s="54">
        <f t="shared" si="172"/>
        <v>617146.1558</v>
      </c>
      <c r="AA64" s="54">
        <f t="shared" si="172"/>
        <v>661478.4822</v>
      </c>
      <c r="AB64" s="54">
        <f t="shared" si="172"/>
        <v>707140.7784</v>
      </c>
      <c r="AC64" s="54">
        <f t="shared" si="172"/>
        <v>754172.9435</v>
      </c>
      <c r="AD64" s="106">
        <f t="shared" si="172"/>
        <v>13709203.09</v>
      </c>
      <c r="AE64" s="41"/>
      <c r="AF64" s="50" t="s">
        <v>158</v>
      </c>
      <c r="AG64" s="137">
        <f t="shared" si="163"/>
        <v>3.445031969</v>
      </c>
      <c r="AH64" s="32">
        <f t="shared" si="164"/>
        <v>0.1912739893</v>
      </c>
      <c r="AI64" s="54">
        <f t="shared" si="165"/>
        <v>-3707930.622</v>
      </c>
      <c r="AJ64" s="54">
        <f t="shared" ref="AJ64:AS64" si="173">AJ36</f>
        <v>646219.972</v>
      </c>
      <c r="AK64" s="54">
        <f t="shared" si="173"/>
        <v>754137.4311</v>
      </c>
      <c r="AL64" s="54">
        <f t="shared" si="173"/>
        <v>776761.5541</v>
      </c>
      <c r="AM64" s="54">
        <f t="shared" si="173"/>
        <v>308564.3009</v>
      </c>
      <c r="AN64" s="54">
        <f t="shared" si="173"/>
        <v>332566.2329</v>
      </c>
      <c r="AO64" s="54">
        <f t="shared" si="173"/>
        <v>357288.2229</v>
      </c>
      <c r="AP64" s="54">
        <f t="shared" si="173"/>
        <v>382751.8726</v>
      </c>
      <c r="AQ64" s="54">
        <f t="shared" si="173"/>
        <v>408979.4318</v>
      </c>
      <c r="AR64" s="54">
        <f t="shared" si="173"/>
        <v>435993.8177</v>
      </c>
      <c r="AS64" s="106">
        <f t="shared" si="173"/>
        <v>8370676.694</v>
      </c>
      <c r="AT64" s="41"/>
      <c r="AU64" s="50" t="s">
        <v>158</v>
      </c>
      <c r="AV64" s="137">
        <f t="shared" si="167"/>
        <v>3.450834313</v>
      </c>
      <c r="AW64" s="32">
        <f t="shared" si="168"/>
        <v>0.191594152</v>
      </c>
      <c r="AX64" s="54">
        <f t="shared" si="169"/>
        <v>-6158576.212</v>
      </c>
      <c r="AY64" s="54">
        <f t="shared" ref="AY64:BH64" si="174">AY36</f>
        <v>1073319.69</v>
      </c>
      <c r="AZ64" s="54">
        <f t="shared" si="174"/>
        <v>1254337.379</v>
      </c>
      <c r="BA64" s="54">
        <f t="shared" si="174"/>
        <v>1291967.501</v>
      </c>
      <c r="BB64" s="54">
        <f t="shared" si="174"/>
        <v>514384.1689</v>
      </c>
      <c r="BC64" s="54">
        <f t="shared" si="174"/>
        <v>554305.9646</v>
      </c>
      <c r="BD64" s="54">
        <f t="shared" si="174"/>
        <v>595425.4143</v>
      </c>
      <c r="BE64" s="54">
        <f t="shared" si="174"/>
        <v>637778.4474</v>
      </c>
      <c r="BF64" s="54">
        <f t="shared" si="174"/>
        <v>681402.0715</v>
      </c>
      <c r="BG64" s="54">
        <f t="shared" si="174"/>
        <v>726334.4044</v>
      </c>
      <c r="BH64" s="106">
        <f t="shared" si="174"/>
        <v>13922971.07</v>
      </c>
    </row>
    <row r="65" ht="15.75" customHeight="1">
      <c r="A65" s="41"/>
      <c r="B65" s="242" t="s">
        <v>179</v>
      </c>
      <c r="C65" s="243">
        <f t="shared" si="155"/>
        <v>3.679756881</v>
      </c>
      <c r="D65" s="244">
        <f t="shared" si="156"/>
        <v>0.1983458905</v>
      </c>
      <c r="E65" s="245">
        <f t="shared" ref="E65:O65" si="175">SUM(E62:E64)</f>
        <v>-2008385.664</v>
      </c>
      <c r="F65" s="245">
        <f t="shared" si="175"/>
        <v>350022.4412</v>
      </c>
      <c r="G65" s="245">
        <f t="shared" si="175"/>
        <v>404327.3965</v>
      </c>
      <c r="H65" s="245">
        <f t="shared" si="175"/>
        <v>416457.2184</v>
      </c>
      <c r="I65" s="245">
        <f t="shared" si="175"/>
        <v>162731.8885</v>
      </c>
      <c r="J65" s="245">
        <f t="shared" si="175"/>
        <v>175600.4166</v>
      </c>
      <c r="K65" s="245">
        <f t="shared" si="175"/>
        <v>188855.0005</v>
      </c>
      <c r="L65" s="245">
        <f t="shared" si="175"/>
        <v>202507.2219</v>
      </c>
      <c r="M65" s="245">
        <f t="shared" si="175"/>
        <v>216569.0099</v>
      </c>
      <c r="N65" s="245">
        <f t="shared" si="175"/>
        <v>231052.6516</v>
      </c>
      <c r="O65" s="246">
        <f t="shared" si="175"/>
        <v>5042247.724</v>
      </c>
      <c r="P65" s="41"/>
      <c r="Q65" s="242" t="s">
        <v>179</v>
      </c>
      <c r="R65" s="243">
        <f t="shared" si="159"/>
        <v>3.715594107</v>
      </c>
      <c r="S65" s="244">
        <f t="shared" si="160"/>
        <v>0.1998720727</v>
      </c>
      <c r="T65" s="245">
        <f t="shared" ref="T65:AD65" si="176">SUM(T62:T64)</f>
        <v>-7213828.965</v>
      </c>
      <c r="U65" s="245">
        <f t="shared" si="176"/>
        <v>1257229.659</v>
      </c>
      <c r="V65" s="245">
        <f t="shared" si="176"/>
        <v>1458840.66</v>
      </c>
      <c r="W65" s="245">
        <f t="shared" si="176"/>
        <v>1502605.879</v>
      </c>
      <c r="X65" s="245">
        <f t="shared" si="176"/>
        <v>591463.9919</v>
      </c>
      <c r="Y65" s="245">
        <f t="shared" si="176"/>
        <v>637894.5136</v>
      </c>
      <c r="Z65" s="245">
        <f t="shared" si="176"/>
        <v>685717.9509</v>
      </c>
      <c r="AA65" s="245">
        <f t="shared" si="176"/>
        <v>734976.0914</v>
      </c>
      <c r="AB65" s="245">
        <f t="shared" si="176"/>
        <v>785711.976</v>
      </c>
      <c r="AC65" s="245">
        <f t="shared" si="176"/>
        <v>837969.9372</v>
      </c>
      <c r="AD65" s="246">
        <f t="shared" si="176"/>
        <v>18311249.73</v>
      </c>
      <c r="AE65" s="41"/>
      <c r="AF65" s="242" t="s">
        <v>179</v>
      </c>
      <c r="AG65" s="243">
        <f t="shared" si="163"/>
        <v>3.935066713</v>
      </c>
      <c r="AH65" s="244">
        <f t="shared" si="164"/>
        <v>0.2071900989</v>
      </c>
      <c r="AI65" s="245">
        <f t="shared" ref="AI65:AS65" si="177">SUM(AI62:AI64)</f>
        <v>-4119922.913</v>
      </c>
      <c r="AJ65" s="245">
        <f t="shared" si="177"/>
        <v>718022.1911</v>
      </c>
      <c r="AK65" s="245">
        <f t="shared" si="177"/>
        <v>837930.479</v>
      </c>
      <c r="AL65" s="245">
        <f t="shared" si="177"/>
        <v>863068.3934</v>
      </c>
      <c r="AM65" s="245">
        <f t="shared" si="177"/>
        <v>342849.2232</v>
      </c>
      <c r="AN65" s="245">
        <f t="shared" si="177"/>
        <v>369518.0366</v>
      </c>
      <c r="AO65" s="245">
        <f t="shared" si="177"/>
        <v>396986.9143</v>
      </c>
      <c r="AP65" s="245">
        <f t="shared" si="177"/>
        <v>425279.8584</v>
      </c>
      <c r="AQ65" s="245">
        <f t="shared" si="177"/>
        <v>454421.5908</v>
      </c>
      <c r="AR65" s="245">
        <f t="shared" si="177"/>
        <v>484437.5752</v>
      </c>
      <c r="AS65" s="246">
        <f t="shared" si="177"/>
        <v>11319657.25</v>
      </c>
      <c r="AT65" s="41"/>
      <c r="AU65" s="242" t="s">
        <v>179</v>
      </c>
      <c r="AV65" s="243">
        <f t="shared" si="167"/>
        <v>3.943887044</v>
      </c>
      <c r="AW65" s="244">
        <f t="shared" si="168"/>
        <v>0.2075723107</v>
      </c>
      <c r="AX65" s="245">
        <f t="shared" ref="AX65:BH65" si="178">SUM(AX62:AX64)</f>
        <v>-6842862.458</v>
      </c>
      <c r="AY65" s="245">
        <f t="shared" si="178"/>
        <v>1192577.434</v>
      </c>
      <c r="AZ65" s="245">
        <f t="shared" si="178"/>
        <v>1393708.199</v>
      </c>
      <c r="BA65" s="245">
        <f t="shared" si="178"/>
        <v>1435519.445</v>
      </c>
      <c r="BB65" s="245">
        <f t="shared" si="178"/>
        <v>571537.9654</v>
      </c>
      <c r="BC65" s="245">
        <f t="shared" si="178"/>
        <v>615895.5163</v>
      </c>
      <c r="BD65" s="245">
        <f t="shared" si="178"/>
        <v>661583.7937</v>
      </c>
      <c r="BE65" s="245">
        <f t="shared" si="178"/>
        <v>708642.7194</v>
      </c>
      <c r="BF65" s="245">
        <f t="shared" si="178"/>
        <v>757113.4128</v>
      </c>
      <c r="BG65" s="245">
        <f t="shared" si="178"/>
        <v>807038.2271</v>
      </c>
      <c r="BH65" s="246">
        <f t="shared" si="178"/>
        <v>18843859.88</v>
      </c>
    </row>
    <row r="66" ht="15.7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</row>
    <row r="67" ht="15.7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</row>
    <row r="68" ht="15.7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</row>
    <row r="69" ht="15.7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</row>
    <row r="70" ht="15.7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</row>
    <row r="71" ht="15.7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</row>
    <row r="72" ht="15.7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</row>
    <row r="73" ht="15.7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</row>
    <row r="74" ht="15.7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</row>
    <row r="75" ht="15.7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</row>
    <row r="76" ht="15.7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</row>
    <row r="77" ht="15.7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</row>
    <row r="78" ht="15.7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</row>
    <row r="79" ht="15.7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</row>
    <row r="80" ht="15.7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</row>
    <row r="81" ht="15.7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</row>
    <row r="82" ht="15.7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</row>
    <row r="83" ht="15.7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</row>
    <row r="84" ht="15.7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</row>
    <row r="85" ht="15.7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</row>
    <row r="86" ht="15.7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</row>
    <row r="87" ht="15.7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</row>
    <row r="88" ht="15.7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</row>
    <row r="89" ht="15.7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</row>
    <row r="90" ht="15.7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</row>
    <row r="91" ht="15.7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</row>
    <row r="92" ht="15.7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</row>
    <row r="93" ht="15.7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</row>
    <row r="94" ht="15.7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</row>
    <row r="95" ht="15.7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</row>
    <row r="96" ht="15.7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</row>
    <row r="97" ht="15.7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</row>
    <row r="98" ht="15.7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</row>
    <row r="99" ht="15.7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</row>
    <row r="100" ht="15.7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</row>
    <row r="101" ht="15.7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</row>
    <row r="102" ht="15.7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</row>
    <row r="103" ht="15.7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</row>
    <row r="104" ht="15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</row>
    <row r="105" ht="15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</row>
    <row r="106" ht="15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</row>
    <row r="107" ht="15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</row>
    <row r="108" ht="15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</row>
    <row r="109" ht="15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</row>
    <row r="110" ht="15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</row>
    <row r="111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</row>
    <row r="112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</row>
    <row r="113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</row>
    <row r="114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</row>
    <row r="115" ht="15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</row>
    <row r="116" ht="15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</row>
    <row r="117" ht="15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</row>
    <row r="118" ht="15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</row>
    <row r="119" ht="15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</row>
    <row r="120" ht="15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</row>
    <row r="121" ht="15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</row>
    <row r="122" ht="15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</row>
    <row r="123" ht="15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</row>
    <row r="124" ht="15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</row>
    <row r="125" ht="15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</row>
    <row r="126" ht="15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</row>
    <row r="127" ht="15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</row>
    <row r="128" ht="15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</row>
    <row r="129" ht="15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</row>
    <row r="130" ht="15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</row>
    <row r="131" ht="15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</row>
    <row r="132" ht="15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</row>
    <row r="133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</row>
    <row r="134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</row>
    <row r="135" ht="15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</row>
    <row r="136" ht="15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</row>
    <row r="137" ht="15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</row>
    <row r="138" ht="15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</row>
    <row r="139" ht="15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</row>
    <row r="140" ht="15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</row>
    <row r="141" ht="15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</row>
    <row r="142" ht="15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</row>
    <row r="143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</row>
    <row r="144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</row>
    <row r="145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</row>
    <row r="146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</row>
    <row r="147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</row>
    <row r="148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</row>
    <row r="149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</row>
    <row r="150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</row>
    <row r="151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</row>
    <row r="152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</row>
    <row r="153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</row>
    <row r="154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</row>
    <row r="155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</row>
    <row r="15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</row>
    <row r="157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</row>
    <row r="158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</row>
    <row r="159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</row>
    <row r="160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</row>
    <row r="161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</row>
    <row r="162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</row>
    <row r="163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</row>
    <row r="164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</row>
    <row r="165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</row>
    <row r="16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</row>
    <row r="167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</row>
    <row r="168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</row>
    <row r="169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</row>
    <row r="170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</row>
    <row r="171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</row>
    <row r="172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</row>
    <row r="173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</row>
    <row r="174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</row>
    <row r="175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</row>
    <row r="17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</row>
    <row r="177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</row>
    <row r="178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</row>
    <row r="179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</row>
    <row r="180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</row>
    <row r="181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</row>
    <row r="182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</row>
    <row r="183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</row>
    <row r="184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</row>
    <row r="185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</row>
    <row r="18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</row>
    <row r="187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</row>
    <row r="188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</row>
    <row r="189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</row>
    <row r="190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</row>
    <row r="191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</row>
    <row r="192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</row>
    <row r="193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</row>
    <row r="194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</row>
    <row r="195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</row>
    <row r="19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</row>
    <row r="197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</row>
    <row r="198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</row>
    <row r="199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</row>
    <row r="200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</row>
    <row r="201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</row>
    <row r="202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</row>
    <row r="203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</row>
    <row r="204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</row>
    <row r="205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</row>
    <row r="20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</row>
    <row r="207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</row>
    <row r="208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</row>
    <row r="209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</row>
    <row r="210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</row>
    <row r="211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</row>
    <row r="212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</row>
    <row r="213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</row>
    <row r="214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</row>
    <row r="215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</row>
    <row r="21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</row>
    <row r="217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</row>
    <row r="218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</row>
    <row r="219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</row>
    <row r="220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</row>
    <row r="221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</row>
    <row r="222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</row>
    <row r="223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</row>
    <row r="224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</row>
    <row r="225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</row>
    <row r="2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</row>
    <row r="227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</row>
    <row r="228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</row>
    <row r="229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</row>
    <row r="230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</row>
    <row r="231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</row>
    <row r="232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</row>
    <row r="233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</row>
    <row r="234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</row>
    <row r="235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</row>
    <row r="23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</row>
    <row r="237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</row>
    <row r="238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</row>
    <row r="239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</row>
    <row r="240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</row>
    <row r="241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</row>
    <row r="242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</row>
    <row r="243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</row>
    <row r="244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</row>
    <row r="245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</row>
    <row r="24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</row>
    <row r="247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</row>
    <row r="248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</row>
    <row r="249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</row>
    <row r="250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</row>
    <row r="251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</row>
    <row r="252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</row>
    <row r="253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</row>
    <row r="254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</row>
    <row r="255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</row>
    <row r="25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</row>
    <row r="257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</row>
    <row r="258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</row>
    <row r="259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</row>
    <row r="260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</row>
    <row r="261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</row>
    <row r="262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</row>
    <row r="263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</row>
    <row r="264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</row>
    <row r="265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</row>
    <row r="26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</row>
    <row r="267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</row>
    <row r="268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</row>
    <row r="269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</row>
    <row r="270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</row>
    <row r="271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</row>
    <row r="272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</row>
    <row r="273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</row>
    <row r="274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</row>
    <row r="275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</row>
    <row r="27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</row>
    <row r="277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</row>
    <row r="278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</row>
    <row r="279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</row>
    <row r="280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</row>
    <row r="281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</row>
    <row r="282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</row>
    <row r="283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</row>
    <row r="284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</row>
    <row r="285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</row>
    <row r="28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</row>
    <row r="287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</row>
    <row r="288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</row>
    <row r="289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</row>
    <row r="290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</row>
    <row r="291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</row>
    <row r="292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</row>
    <row r="293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</row>
    <row r="294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</row>
    <row r="295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</row>
    <row r="29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</row>
    <row r="297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</row>
    <row r="298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</row>
    <row r="299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</row>
    <row r="300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</row>
    <row r="301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</row>
    <row r="302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</row>
    <row r="303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</row>
    <row r="304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</row>
    <row r="305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</row>
    <row r="30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</row>
    <row r="307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</row>
    <row r="308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</row>
    <row r="309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</row>
    <row r="310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</row>
    <row r="311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</row>
    <row r="312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</row>
    <row r="313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</row>
    <row r="314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</row>
    <row r="315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</row>
    <row r="31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</row>
    <row r="317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</row>
    <row r="318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</row>
    <row r="319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</row>
    <row r="320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</row>
    <row r="321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</row>
    <row r="322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</row>
    <row r="323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</row>
    <row r="324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</row>
    <row r="325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</row>
    <row r="3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</row>
    <row r="327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</row>
    <row r="328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</row>
    <row r="329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</row>
    <row r="330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</row>
    <row r="331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</row>
    <row r="332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</row>
    <row r="333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</row>
    <row r="334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</row>
    <row r="335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</row>
    <row r="33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</row>
    <row r="337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</row>
    <row r="338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</row>
    <row r="339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</row>
    <row r="340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</row>
    <row r="341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</row>
    <row r="342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</row>
    <row r="343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</row>
    <row r="344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</row>
    <row r="345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</row>
    <row r="34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</row>
    <row r="347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</row>
    <row r="348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</row>
    <row r="349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</row>
    <row r="350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</row>
    <row r="351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</row>
    <row r="352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</row>
    <row r="353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</row>
    <row r="354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</row>
    <row r="355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</row>
    <row r="35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</row>
    <row r="357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</row>
    <row r="358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</row>
    <row r="359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</row>
    <row r="360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</row>
    <row r="361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</row>
    <row r="362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</row>
    <row r="363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</row>
    <row r="364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</row>
    <row r="365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</row>
    <row r="36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</row>
    <row r="367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</row>
    <row r="368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</row>
    <row r="369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</row>
    <row r="370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</row>
    <row r="371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</row>
    <row r="372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</row>
    <row r="373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</row>
    <row r="374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</row>
    <row r="375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</row>
    <row r="37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</row>
    <row r="377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</row>
    <row r="378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</row>
    <row r="379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</row>
    <row r="380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</row>
    <row r="381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</row>
    <row r="382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</row>
    <row r="383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</row>
    <row r="384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</row>
    <row r="385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</row>
    <row r="38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</row>
    <row r="387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</row>
    <row r="388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</row>
    <row r="389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</row>
    <row r="390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</row>
    <row r="391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</row>
    <row r="392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</row>
    <row r="393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</row>
    <row r="394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</row>
    <row r="395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</row>
    <row r="39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</row>
    <row r="397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</row>
    <row r="398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</row>
    <row r="399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</row>
    <row r="400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</row>
    <row r="401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</row>
    <row r="402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</row>
    <row r="403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</row>
    <row r="404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</row>
    <row r="405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</row>
    <row r="40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</row>
    <row r="407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</row>
    <row r="408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</row>
    <row r="409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</row>
    <row r="410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</row>
    <row r="411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</row>
    <row r="412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</row>
    <row r="413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</row>
    <row r="414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</row>
    <row r="415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</row>
    <row r="41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</row>
    <row r="417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</row>
    <row r="418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</row>
    <row r="419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</row>
    <row r="420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</row>
    <row r="421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</row>
    <row r="422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</row>
    <row r="423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</row>
    <row r="424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</row>
    <row r="425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</row>
    <row r="4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</row>
    <row r="427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</row>
    <row r="428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</row>
    <row r="429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</row>
    <row r="430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</row>
    <row r="431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</row>
    <row r="432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</row>
    <row r="433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</row>
    <row r="434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</row>
    <row r="435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</row>
    <row r="43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</row>
    <row r="437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</row>
    <row r="438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</row>
    <row r="439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</row>
    <row r="440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</row>
    <row r="441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</row>
    <row r="442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</row>
    <row r="443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</row>
    <row r="444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</row>
    <row r="445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</row>
    <row r="44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</row>
    <row r="447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</row>
    <row r="448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</row>
    <row r="449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</row>
    <row r="450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</row>
    <row r="451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</row>
    <row r="452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</row>
    <row r="453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</row>
    <row r="454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</row>
    <row r="455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</row>
    <row r="45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</row>
    <row r="457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</row>
    <row r="458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</row>
    <row r="459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</row>
    <row r="460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</row>
    <row r="461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</row>
    <row r="462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</row>
    <row r="463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</row>
    <row r="464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</row>
    <row r="465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</row>
    <row r="46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</row>
    <row r="467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</row>
    <row r="468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</row>
    <row r="469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</row>
    <row r="470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</row>
    <row r="471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</row>
    <row r="472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</row>
    <row r="473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</row>
    <row r="474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</row>
    <row r="475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</row>
    <row r="47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</row>
    <row r="477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</row>
    <row r="478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</row>
    <row r="479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</row>
    <row r="480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</row>
    <row r="481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</row>
    <row r="482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</row>
    <row r="483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</row>
    <row r="484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</row>
    <row r="485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</row>
    <row r="48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</row>
    <row r="487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</row>
    <row r="488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</row>
    <row r="489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</row>
    <row r="490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</row>
    <row r="491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</row>
    <row r="492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</row>
    <row r="493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</row>
    <row r="494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</row>
    <row r="495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</row>
    <row r="49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</row>
    <row r="497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</row>
    <row r="498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</row>
    <row r="499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</row>
    <row r="500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</row>
    <row r="501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</row>
    <row r="502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</row>
    <row r="503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</row>
    <row r="504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</row>
    <row r="505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</row>
    <row r="50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</row>
    <row r="507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</row>
    <row r="508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</row>
    <row r="509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</row>
    <row r="510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</row>
    <row r="511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</row>
    <row r="512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</row>
    <row r="513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</row>
    <row r="514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</row>
    <row r="515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</row>
    <row r="51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</row>
    <row r="517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</row>
    <row r="518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</row>
    <row r="519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</row>
    <row r="520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</row>
    <row r="521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</row>
    <row r="522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</row>
    <row r="523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</row>
    <row r="524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</row>
    <row r="525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</row>
    <row r="5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</row>
    <row r="527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</row>
    <row r="528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</row>
    <row r="529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</row>
    <row r="530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</row>
    <row r="531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</row>
    <row r="532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</row>
    <row r="533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</row>
    <row r="534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</row>
    <row r="535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</row>
    <row r="53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</row>
    <row r="537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</row>
    <row r="538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</row>
    <row r="539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</row>
    <row r="540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</row>
    <row r="541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</row>
    <row r="542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</row>
    <row r="543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</row>
    <row r="544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</row>
    <row r="545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</row>
    <row r="54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</row>
    <row r="547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</row>
    <row r="548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</row>
    <row r="549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</row>
    <row r="550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</row>
    <row r="551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</row>
    <row r="552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</row>
    <row r="553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</row>
    <row r="554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</row>
    <row r="555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</row>
    <row r="55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</row>
    <row r="557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</row>
    <row r="558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</row>
    <row r="559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</row>
    <row r="560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</row>
    <row r="561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</row>
    <row r="562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</row>
    <row r="563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</row>
    <row r="564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</row>
    <row r="565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</row>
    <row r="56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</row>
    <row r="567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</row>
    <row r="568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</row>
    <row r="569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</row>
    <row r="570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</row>
    <row r="571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</row>
    <row r="572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</row>
    <row r="573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</row>
    <row r="574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</row>
    <row r="575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</row>
    <row r="57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</row>
    <row r="577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</row>
    <row r="578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</row>
    <row r="579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</row>
    <row r="580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</row>
    <row r="581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</row>
    <row r="582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</row>
    <row r="583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</row>
    <row r="584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</row>
    <row r="585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</row>
    <row r="58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</row>
    <row r="587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</row>
    <row r="588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</row>
    <row r="589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</row>
    <row r="590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</row>
    <row r="591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</row>
    <row r="592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</row>
    <row r="593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</row>
    <row r="594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</row>
    <row r="595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</row>
    <row r="59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</row>
    <row r="597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</row>
    <row r="598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</row>
    <row r="599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</row>
    <row r="600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</row>
    <row r="601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</row>
    <row r="602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</row>
    <row r="603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</row>
    <row r="604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</row>
    <row r="605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</row>
    <row r="60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</row>
    <row r="607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</row>
    <row r="608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</row>
    <row r="609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</row>
    <row r="610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</row>
    <row r="611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</row>
    <row r="612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</row>
    <row r="613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</row>
    <row r="614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</row>
    <row r="615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</row>
    <row r="61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</row>
    <row r="617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</row>
    <row r="618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</row>
    <row r="619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</row>
    <row r="620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</row>
    <row r="621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</row>
    <row r="622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</row>
    <row r="623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</row>
    <row r="624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</row>
    <row r="625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</row>
    <row r="6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</row>
    <row r="627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</row>
    <row r="628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</row>
    <row r="629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</row>
    <row r="630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</row>
    <row r="631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</row>
    <row r="632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</row>
    <row r="633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</row>
    <row r="634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</row>
    <row r="635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</row>
    <row r="63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</row>
    <row r="637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</row>
    <row r="638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</row>
    <row r="639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</row>
    <row r="640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</row>
    <row r="641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</row>
    <row r="642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</row>
    <row r="643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</row>
    <row r="644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</row>
    <row r="645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</row>
    <row r="64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</row>
    <row r="647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</row>
    <row r="648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</row>
    <row r="649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</row>
    <row r="650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</row>
    <row r="651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</row>
    <row r="652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</row>
    <row r="653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</row>
    <row r="654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</row>
    <row r="655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</row>
    <row r="65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</row>
    <row r="657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</row>
    <row r="658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</row>
    <row r="659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</row>
    <row r="660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</row>
    <row r="661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</row>
    <row r="662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</row>
    <row r="663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</row>
    <row r="664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</row>
    <row r="665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</row>
    <row r="66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</row>
    <row r="667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</row>
    <row r="668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</row>
    <row r="669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</row>
    <row r="670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</row>
    <row r="671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</row>
    <row r="672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</row>
    <row r="673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</row>
    <row r="674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</row>
    <row r="675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</row>
    <row r="67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</row>
    <row r="677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</row>
    <row r="678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</row>
    <row r="679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</row>
    <row r="680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</row>
    <row r="681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</row>
    <row r="682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</row>
    <row r="683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</row>
    <row r="684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</row>
    <row r="685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</row>
    <row r="68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</row>
    <row r="687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</row>
    <row r="688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</row>
    <row r="689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</row>
    <row r="690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</row>
    <row r="691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</row>
    <row r="692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</row>
    <row r="693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</row>
    <row r="694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</row>
    <row r="695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</row>
    <row r="69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</row>
    <row r="697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</row>
    <row r="698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</row>
    <row r="699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</row>
    <row r="700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</row>
    <row r="701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</row>
    <row r="702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</row>
    <row r="703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</row>
    <row r="704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</row>
    <row r="705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</row>
    <row r="70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</row>
    <row r="707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</row>
    <row r="708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</row>
    <row r="709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</row>
    <row r="710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</row>
    <row r="711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</row>
    <row r="712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</row>
    <row r="713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</row>
    <row r="714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</row>
    <row r="715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</row>
    <row r="71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</row>
    <row r="717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</row>
    <row r="718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</row>
    <row r="719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</row>
    <row r="720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</row>
    <row r="721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</row>
    <row r="722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</row>
    <row r="723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</row>
    <row r="724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</row>
    <row r="725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</row>
    <row r="7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</row>
    <row r="727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</row>
    <row r="728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</row>
    <row r="729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</row>
    <row r="730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</row>
    <row r="731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</row>
    <row r="732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</row>
    <row r="733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</row>
    <row r="734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</row>
    <row r="735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</row>
    <row r="73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</row>
    <row r="737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</row>
    <row r="738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</row>
    <row r="739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</row>
    <row r="740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</row>
    <row r="741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</row>
    <row r="742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</row>
    <row r="743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</row>
    <row r="744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</row>
    <row r="745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</row>
    <row r="74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</row>
    <row r="747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</row>
    <row r="748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</row>
    <row r="749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</row>
    <row r="750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</row>
    <row r="751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</row>
    <row r="752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</row>
    <row r="753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</row>
    <row r="754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</row>
    <row r="755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</row>
    <row r="75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</row>
    <row r="757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</row>
    <row r="758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</row>
    <row r="759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</row>
    <row r="760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</row>
    <row r="761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</row>
    <row r="762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</row>
    <row r="763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</row>
    <row r="764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</row>
    <row r="765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</row>
    <row r="76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</row>
    <row r="767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</row>
    <row r="768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</row>
    <row r="769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</row>
    <row r="770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</row>
    <row r="771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</row>
    <row r="772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</row>
    <row r="773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</row>
    <row r="774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</row>
    <row r="775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</row>
    <row r="77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</row>
    <row r="777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</row>
    <row r="778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</row>
    <row r="779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</row>
    <row r="780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</row>
    <row r="781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</row>
    <row r="782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</row>
    <row r="783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</row>
    <row r="784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</row>
    <row r="785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</row>
    <row r="78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</row>
    <row r="787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</row>
    <row r="788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</row>
    <row r="789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</row>
    <row r="790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</row>
    <row r="791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</row>
    <row r="792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</row>
    <row r="793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</row>
    <row r="794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</row>
    <row r="795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</row>
    <row r="79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</row>
    <row r="797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</row>
    <row r="798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</row>
    <row r="799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</row>
    <row r="800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</row>
    <row r="801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</row>
    <row r="802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</row>
    <row r="803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</row>
    <row r="804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</row>
    <row r="805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</row>
    <row r="80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</row>
    <row r="807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</row>
    <row r="808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</row>
    <row r="809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</row>
    <row r="810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</row>
    <row r="811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</row>
    <row r="812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</row>
    <row r="813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</row>
    <row r="814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</row>
    <row r="815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</row>
    <row r="81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</row>
    <row r="817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</row>
    <row r="818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</row>
    <row r="819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</row>
    <row r="820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</row>
    <row r="821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</row>
    <row r="822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</row>
    <row r="823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</row>
    <row r="824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</row>
    <row r="825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</row>
    <row r="8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</row>
    <row r="827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</row>
    <row r="828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</row>
    <row r="829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</row>
    <row r="830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</row>
    <row r="831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</row>
    <row r="832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</row>
    <row r="833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</row>
    <row r="834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</row>
    <row r="835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</row>
    <row r="83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</row>
    <row r="837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</row>
    <row r="838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</row>
    <row r="839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</row>
    <row r="840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</row>
    <row r="841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</row>
    <row r="842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</row>
    <row r="843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</row>
    <row r="844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</row>
    <row r="845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</row>
    <row r="84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</row>
    <row r="847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</row>
    <row r="848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</row>
    <row r="849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</row>
    <row r="850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</row>
    <row r="851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</row>
    <row r="852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</row>
    <row r="853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</row>
    <row r="854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</row>
    <row r="855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</row>
    <row r="85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</row>
    <row r="857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</row>
    <row r="858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</row>
    <row r="859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</row>
    <row r="860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</row>
    <row r="861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</row>
    <row r="862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</row>
    <row r="863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</row>
    <row r="864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</row>
    <row r="865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</row>
    <row r="86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</row>
    <row r="867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</row>
    <row r="868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</row>
    <row r="869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</row>
    <row r="870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</row>
    <row r="871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</row>
    <row r="872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</row>
    <row r="873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</row>
    <row r="874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</row>
    <row r="875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</row>
    <row r="87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</row>
    <row r="877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</row>
    <row r="878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</row>
    <row r="879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</row>
    <row r="880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</row>
    <row r="881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</row>
    <row r="882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</row>
    <row r="883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</row>
    <row r="884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</row>
    <row r="885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</row>
    <row r="88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</row>
    <row r="887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</row>
    <row r="888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</row>
    <row r="889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</row>
    <row r="890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</row>
    <row r="891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</row>
    <row r="892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</row>
    <row r="893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</row>
    <row r="894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</row>
    <row r="895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</row>
    <row r="89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</row>
    <row r="897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</row>
    <row r="898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</row>
    <row r="899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</row>
    <row r="900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</row>
    <row r="901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</row>
    <row r="902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</row>
    <row r="903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</row>
    <row r="904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</row>
    <row r="905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</row>
    <row r="90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</row>
    <row r="907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</row>
    <row r="908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</row>
    <row r="909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</row>
    <row r="910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</row>
    <row r="911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</row>
    <row r="912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</row>
    <row r="913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</row>
    <row r="914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</row>
    <row r="915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</row>
    <row r="91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</row>
    <row r="917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</row>
    <row r="918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</row>
    <row r="919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</row>
    <row r="920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</row>
    <row r="921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</row>
    <row r="922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</row>
    <row r="923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</row>
    <row r="924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</row>
    <row r="925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</row>
    <row r="9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</row>
    <row r="927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</row>
    <row r="928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</row>
    <row r="929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</row>
    <row r="930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</row>
    <row r="931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</row>
    <row r="932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</row>
    <row r="933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</row>
    <row r="934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</row>
    <row r="935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</row>
    <row r="93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</row>
    <row r="937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</row>
    <row r="938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</row>
    <row r="939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</row>
    <row r="940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</row>
    <row r="941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</row>
    <row r="942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</row>
    <row r="943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</row>
    <row r="944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</row>
    <row r="945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</row>
    <row r="94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</row>
    <row r="947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</row>
    <row r="948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</row>
    <row r="949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</row>
    <row r="950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</row>
    <row r="951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</row>
    <row r="952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</row>
    <row r="953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</row>
    <row r="954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</row>
    <row r="955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</row>
    <row r="95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</row>
    <row r="957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</row>
    <row r="958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</row>
    <row r="959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</row>
    <row r="960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</row>
    <row r="961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</row>
    <row r="962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</row>
    <row r="963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</row>
    <row r="964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</row>
    <row r="965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</row>
    <row r="96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</row>
    <row r="967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</row>
    <row r="968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</row>
    <row r="969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</row>
    <row r="970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</row>
    <row r="971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</row>
    <row r="972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</row>
    <row r="973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</row>
    <row r="974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</row>
    <row r="975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</row>
    <row r="97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</row>
    <row r="977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</row>
    <row r="978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</row>
    <row r="979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</row>
    <row r="980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</row>
    <row r="981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</row>
    <row r="982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</row>
    <row r="983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</row>
    <row r="984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</row>
    <row r="985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</row>
    <row r="98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</row>
    <row r="987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</row>
    <row r="988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</row>
    <row r="989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</row>
    <row r="990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</row>
    <row r="991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</row>
    <row r="992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</row>
    <row r="993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</row>
    <row r="994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</row>
    <row r="995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</row>
    <row r="99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</row>
    <row r="997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</row>
    <row r="998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</row>
    <row r="999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</row>
    <row r="1000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/>
  </sheetViews>
  <sheetFormatPr customHeight="1" defaultColWidth="14.43" defaultRowHeight="15.0"/>
  <cols>
    <col customWidth="1" min="1" max="1" width="4.29"/>
    <col customWidth="1" min="2" max="2" width="25.71"/>
    <col customWidth="1" min="3" max="3" width="13.43"/>
    <col customWidth="1" min="4" max="4" width="14.0"/>
    <col customWidth="1" min="5" max="5" width="19.14"/>
    <col customWidth="1" min="6" max="6" width="17.29"/>
    <col customWidth="1" min="7" max="7" width="17.14"/>
    <col customWidth="1" min="8" max="8" width="17.43"/>
    <col customWidth="1" min="9" max="10" width="14.71"/>
    <col customWidth="1" min="11" max="11" width="15.29"/>
    <col customWidth="1" min="12" max="12" width="17.71"/>
    <col customWidth="1" min="13" max="13" width="16.86"/>
    <col customWidth="1" min="14" max="14" width="16.29"/>
    <col customWidth="1" min="15" max="15" width="17.86"/>
    <col customWidth="1" min="16" max="16" width="8.71"/>
    <col customWidth="1" min="17" max="17" width="23.71"/>
    <col customWidth="1" min="18" max="19" width="8.71"/>
    <col customWidth="1" min="20" max="20" width="14.14"/>
    <col customWidth="1" min="21" max="26" width="9.14"/>
  </cols>
  <sheetData>
    <row r="1" ht="15.75" customHeight="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ht="15.75" customHeight="1">
      <c r="A2" s="247"/>
      <c r="B2" s="42" t="s">
        <v>180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248"/>
      <c r="U2" s="249"/>
      <c r="V2" s="249"/>
      <c r="W2" s="249"/>
      <c r="X2" s="249"/>
      <c r="Y2" s="249"/>
      <c r="Z2" s="249"/>
    </row>
    <row r="3" ht="15.75" customHeight="1">
      <c r="A3" s="250"/>
      <c r="B3" s="50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82"/>
      <c r="U3" s="41"/>
      <c r="V3" s="41"/>
      <c r="W3" s="41"/>
      <c r="X3" s="41"/>
      <c r="Y3" s="41"/>
      <c r="Z3" s="41"/>
    </row>
    <row r="4" ht="15.75" customHeight="1">
      <c r="A4" s="250"/>
      <c r="B4" s="251" t="str">
        <f>Assumptions!B2</f>
        <v>305 e. DANIEL</v>
      </c>
      <c r="C4" s="84"/>
      <c r="D4" s="84"/>
      <c r="E4" s="84"/>
      <c r="F4" s="1"/>
      <c r="G4" s="252" t="str">
        <f>Assumptions!J2</f>
        <v>75 e. ARMORY</v>
      </c>
      <c r="H4" s="84"/>
      <c r="I4" s="84"/>
      <c r="J4" s="84"/>
      <c r="K4" s="1"/>
      <c r="L4" s="252" t="str">
        <f>Assumptions!R2</f>
        <v>507 s. SECOND</v>
      </c>
      <c r="M4" s="84"/>
      <c r="N4" s="84"/>
      <c r="O4" s="84"/>
      <c r="P4" s="1"/>
      <c r="Q4" s="252" t="str">
        <f>Assumptions!Z2</f>
        <v>901 w. WESTERN</v>
      </c>
      <c r="R4" s="84"/>
      <c r="S4" s="84"/>
      <c r="T4" s="126"/>
      <c r="U4" s="41"/>
      <c r="V4" s="41"/>
      <c r="W4" s="41"/>
      <c r="X4" s="41"/>
      <c r="Y4" s="41"/>
      <c r="Z4" s="41"/>
    </row>
    <row r="5" ht="15.75" customHeight="1">
      <c r="A5" s="250"/>
      <c r="B5" s="253" t="s">
        <v>181</v>
      </c>
      <c r="C5" s="6"/>
      <c r="D5" s="6"/>
      <c r="E5" s="254">
        <f t="array" ref="E5">NPV(Assumptions!$D$66,'Proforma Summary'!D47:M47)</f>
        <v>1689803.939</v>
      </c>
      <c r="F5" s="1"/>
      <c r="G5" s="5" t="s">
        <v>181</v>
      </c>
      <c r="H5" s="6"/>
      <c r="I5" s="6"/>
      <c r="J5" s="254">
        <f t="array" ref="J5">NPV(Assumptions!$L$66,'Proforma Summary'!Q47:Z47)</f>
        <v>6107555.867</v>
      </c>
      <c r="K5" s="1"/>
      <c r="L5" s="5" t="s">
        <v>181</v>
      </c>
      <c r="M5" s="6"/>
      <c r="N5" s="6"/>
      <c r="O5" s="254">
        <f t="array" ref="O5">NPV(Assumptions!$T$66,'Proforma Summary'!AD47:AM47)</f>
        <v>3496455.514</v>
      </c>
      <c r="P5" s="1"/>
      <c r="Q5" s="5" t="s">
        <v>181</v>
      </c>
      <c r="R5" s="6"/>
      <c r="S5" s="6"/>
      <c r="T5" s="255">
        <f t="array" ref="T5">NPV(Assumptions!$AB$66,'Proforma Summary'!AQ47:AZ47)</f>
        <v>5818110.752</v>
      </c>
      <c r="U5" s="41"/>
      <c r="V5" s="41"/>
      <c r="W5" s="41"/>
      <c r="X5" s="41"/>
      <c r="Y5" s="41"/>
      <c r="Z5" s="41"/>
    </row>
    <row r="6" ht="15.75" customHeight="1">
      <c r="A6" s="250"/>
      <c r="B6" s="50" t="s">
        <v>182</v>
      </c>
      <c r="C6" s="1"/>
      <c r="D6" s="1"/>
      <c r="E6" s="256">
        <f t="array" ref="E6">NPV(Assumptions!$D$66,'Proforma Summary'!D48:M48)</f>
        <v>1849172.381</v>
      </c>
      <c r="F6" s="1"/>
      <c r="G6" s="9" t="s">
        <v>182</v>
      </c>
      <c r="H6" s="1"/>
      <c r="I6" s="1"/>
      <c r="J6" s="256">
        <f t="array" ref="J6">NPV(Assumptions!$L$66,'Proforma Summary'!Q48:Z48)</f>
        <v>6715953.631</v>
      </c>
      <c r="K6" s="1"/>
      <c r="L6" s="9" t="s">
        <v>182</v>
      </c>
      <c r="M6" s="1"/>
      <c r="N6" s="1"/>
      <c r="O6" s="256">
        <f t="array" ref="O6">NPV(Assumptions!$T$66,'Proforma Summary'!AD48:AM48)</f>
        <v>4184827.096</v>
      </c>
      <c r="P6" s="1"/>
      <c r="Q6" s="9" t="s">
        <v>182</v>
      </c>
      <c r="R6" s="1"/>
      <c r="S6" s="1"/>
      <c r="T6" s="255">
        <f t="array" ref="T6">NPV(Assumptions!$AB$66,'Proforma Summary'!AQ48:AZ48)</f>
        <v>6966871.57</v>
      </c>
      <c r="U6" s="41"/>
      <c r="V6" s="41"/>
      <c r="W6" s="41"/>
      <c r="X6" s="41"/>
      <c r="Y6" s="41"/>
      <c r="Z6" s="41"/>
    </row>
    <row r="7" ht="15.75" customHeight="1">
      <c r="A7" s="250"/>
      <c r="B7" s="50" t="s">
        <v>183</v>
      </c>
      <c r="C7" s="1"/>
      <c r="D7" s="1"/>
      <c r="E7" s="256">
        <f>SUM(E5:E6)</f>
        <v>3538976.32</v>
      </c>
      <c r="F7" s="1"/>
      <c r="G7" s="9" t="s">
        <v>183</v>
      </c>
      <c r="H7" s="1"/>
      <c r="I7" s="1"/>
      <c r="J7" s="256">
        <f>SUM(J5:J6)</f>
        <v>12823509.5</v>
      </c>
      <c r="K7" s="1"/>
      <c r="L7" s="9" t="s">
        <v>183</v>
      </c>
      <c r="M7" s="1"/>
      <c r="N7" s="1"/>
      <c r="O7" s="256">
        <f>SUM(O5:O6)</f>
        <v>7681282.61</v>
      </c>
      <c r="P7" s="1"/>
      <c r="Q7" s="9" t="s">
        <v>183</v>
      </c>
      <c r="R7" s="1"/>
      <c r="S7" s="1"/>
      <c r="T7" s="257">
        <f>SUM(T5:T6)</f>
        <v>12784982.32</v>
      </c>
      <c r="U7" s="41"/>
      <c r="V7" s="41"/>
      <c r="W7" s="41"/>
      <c r="X7" s="41"/>
      <c r="Y7" s="41"/>
      <c r="Z7" s="41"/>
    </row>
    <row r="8" ht="15.75" customHeight="1">
      <c r="A8" s="250"/>
      <c r="B8" s="50" t="s">
        <v>184</v>
      </c>
      <c r="C8" s="1"/>
      <c r="D8" s="1"/>
      <c r="E8" s="256">
        <f>-Assumptions!D43</f>
        <v>-2008385.664</v>
      </c>
      <c r="F8" s="1"/>
      <c r="G8" s="9" t="s">
        <v>184</v>
      </c>
      <c r="H8" s="1"/>
      <c r="I8" s="1"/>
      <c r="J8" s="256">
        <f>'Proforma Summary'!P49</f>
        <v>-7213828.965</v>
      </c>
      <c r="K8" s="1"/>
      <c r="L8" s="9" t="s">
        <v>184</v>
      </c>
      <c r="M8" s="1"/>
      <c r="N8" s="1"/>
      <c r="O8" s="256">
        <f>'Proforma Summary'!AC49</f>
        <v>-4119922.913</v>
      </c>
      <c r="P8" s="1"/>
      <c r="Q8" s="9" t="s">
        <v>184</v>
      </c>
      <c r="R8" s="1"/>
      <c r="S8" s="1"/>
      <c r="T8" s="257">
        <f>'Proforma Summary'!AP49</f>
        <v>-6842862.458</v>
      </c>
      <c r="U8" s="41"/>
      <c r="V8" s="41"/>
      <c r="W8" s="41"/>
      <c r="X8" s="41"/>
      <c r="Y8" s="41"/>
      <c r="Z8" s="41"/>
    </row>
    <row r="9" ht="15.75" customHeight="1">
      <c r="A9" s="250"/>
      <c r="B9" s="50" t="s">
        <v>185</v>
      </c>
      <c r="C9" s="1"/>
      <c r="D9" s="1"/>
      <c r="E9" s="256">
        <f>SUM(E7:E8)</f>
        <v>1530590.656</v>
      </c>
      <c r="F9" s="1"/>
      <c r="G9" s="9" t="s">
        <v>185</v>
      </c>
      <c r="H9" s="1"/>
      <c r="I9" s="1"/>
      <c r="J9" s="256">
        <f>SUM(J7:J8)</f>
        <v>5609680.533</v>
      </c>
      <c r="K9" s="1"/>
      <c r="L9" s="9" t="s">
        <v>185</v>
      </c>
      <c r="M9" s="1"/>
      <c r="N9" s="1"/>
      <c r="O9" s="256">
        <f>SUM(O7:O8)</f>
        <v>3561359.697</v>
      </c>
      <c r="P9" s="1"/>
      <c r="Q9" s="9" t="s">
        <v>185</v>
      </c>
      <c r="R9" s="1"/>
      <c r="S9" s="1"/>
      <c r="T9" s="257">
        <f>SUM(T7:T8)</f>
        <v>5942119.865</v>
      </c>
      <c r="U9" s="41"/>
      <c r="V9" s="41"/>
      <c r="W9" s="41"/>
      <c r="X9" s="41"/>
      <c r="Y9" s="41"/>
      <c r="Z9" s="41"/>
    </row>
    <row r="10" ht="15.75" customHeight="1">
      <c r="A10" s="250"/>
      <c r="B10" s="103" t="s">
        <v>127</v>
      </c>
      <c r="C10" s="26"/>
      <c r="D10" s="26"/>
      <c r="E10" s="258">
        <f>IRR('Proforma Summary'!C49:M49)</f>
        <v>0.1983458905</v>
      </c>
      <c r="F10" s="1"/>
      <c r="G10" s="25" t="s">
        <v>127</v>
      </c>
      <c r="H10" s="26"/>
      <c r="I10" s="26"/>
      <c r="J10" s="258">
        <f>IRR('Proforma Summary'!P49:Z49)</f>
        <v>0.1998720727</v>
      </c>
      <c r="K10" s="1"/>
      <c r="L10" s="25" t="s">
        <v>127</v>
      </c>
      <c r="M10" s="26"/>
      <c r="N10" s="26"/>
      <c r="O10" s="258">
        <f>IRR('Proforma Summary'!AC49:AM49)</f>
        <v>0.2071900989</v>
      </c>
      <c r="P10" s="1"/>
      <c r="Q10" s="25" t="s">
        <v>127</v>
      </c>
      <c r="R10" s="26"/>
      <c r="S10" s="26"/>
      <c r="T10" s="259">
        <f>IRR('Proforma Summary'!AP49:AZ49)</f>
        <v>0.2075723107</v>
      </c>
      <c r="U10" s="41"/>
      <c r="V10" s="41"/>
      <c r="W10" s="41"/>
      <c r="X10" s="41"/>
      <c r="Y10" s="41"/>
      <c r="Z10" s="41"/>
    </row>
    <row r="11" ht="15.75" customHeight="1">
      <c r="A11" s="250"/>
      <c r="B11" s="50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82"/>
      <c r="U11" s="41"/>
      <c r="V11" s="41"/>
      <c r="W11" s="41"/>
      <c r="X11" s="41"/>
      <c r="Y11" s="41"/>
      <c r="Z11" s="41"/>
    </row>
    <row r="12" ht="15.75" customHeight="1">
      <c r="A12" s="247"/>
      <c r="B12" s="83" t="s">
        <v>186</v>
      </c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1"/>
      <c r="U12" s="249"/>
      <c r="V12" s="249"/>
      <c r="W12" s="249"/>
      <c r="X12" s="249"/>
      <c r="Y12" s="249"/>
      <c r="Z12" s="249"/>
    </row>
    <row r="13" ht="15.75" customHeight="1">
      <c r="A13" s="250"/>
      <c r="B13" s="50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82"/>
      <c r="U13" s="41"/>
      <c r="V13" s="41"/>
      <c r="W13" s="41"/>
      <c r="X13" s="41"/>
      <c r="Y13" s="41"/>
      <c r="Z13" s="41"/>
    </row>
    <row r="14" ht="15.75" customHeight="1">
      <c r="A14" s="250"/>
      <c r="B14" s="50"/>
      <c r="C14" s="1"/>
      <c r="D14" s="1"/>
      <c r="E14" s="1"/>
      <c r="F14" s="1"/>
      <c r="G14" s="1"/>
      <c r="H14" s="1"/>
      <c r="I14" s="1"/>
      <c r="J14" s="1"/>
      <c r="K14" s="1"/>
      <c r="L14" s="1"/>
      <c r="M14" s="262" t="s">
        <v>187</v>
      </c>
      <c r="N14" s="1"/>
      <c r="O14" s="1"/>
      <c r="P14" s="1"/>
      <c r="Q14" s="1"/>
      <c r="R14" s="1"/>
      <c r="S14" s="1"/>
      <c r="T14" s="82"/>
      <c r="U14" s="41"/>
      <c r="V14" s="41"/>
      <c r="W14" s="41"/>
      <c r="X14" s="41"/>
      <c r="Y14" s="41"/>
      <c r="Z14" s="41"/>
    </row>
    <row r="15" ht="15.75" customHeight="1">
      <c r="A15" s="250"/>
      <c r="B15" s="263" t="s">
        <v>188</v>
      </c>
      <c r="C15" s="264" t="str">
        <f>B4</f>
        <v>305 e. DANIEL</v>
      </c>
      <c r="D15" s="264" t="str">
        <f>G4</f>
        <v>75 e. ARMORY</v>
      </c>
      <c r="E15" s="264" t="str">
        <f>L4</f>
        <v>507 s. SECOND</v>
      </c>
      <c r="F15" s="264" t="str">
        <f>Q4</f>
        <v>901 w. WESTERN</v>
      </c>
      <c r="G15" s="265" t="s">
        <v>189</v>
      </c>
      <c r="H15" s="8"/>
      <c r="I15" s="8"/>
      <c r="J15" s="8"/>
      <c r="K15" s="8"/>
      <c r="L15" s="8"/>
      <c r="M15" s="262"/>
      <c r="N15" s="8"/>
      <c r="O15" s="8"/>
      <c r="P15" s="8"/>
      <c r="Q15" s="8"/>
      <c r="R15" s="1"/>
      <c r="S15" s="1"/>
      <c r="T15" s="82"/>
      <c r="U15" s="41"/>
      <c r="V15" s="41"/>
      <c r="W15" s="41"/>
      <c r="X15" s="41"/>
      <c r="Y15" s="41"/>
      <c r="Z15" s="41"/>
    </row>
    <row r="16" ht="15.75" customHeight="1">
      <c r="A16" s="250"/>
      <c r="B16" s="107" t="s">
        <v>88</v>
      </c>
      <c r="C16" s="266">
        <f>Assumptions!D43</f>
        <v>2008385.664</v>
      </c>
      <c r="D16" s="266">
        <f>Assumptions!L43</f>
        <v>7213828.965</v>
      </c>
      <c r="E16" s="266">
        <f>Assumptions!T43</f>
        <v>4119922.913</v>
      </c>
      <c r="F16" s="266">
        <f>Assumptions!AB43</f>
        <v>6842862.458</v>
      </c>
      <c r="G16" s="267">
        <f t="shared" ref="G16:G19" si="1">SUM(C16:F16)</f>
        <v>20185000</v>
      </c>
      <c r="H16" s="8"/>
      <c r="I16" s="186" t="s">
        <v>190</v>
      </c>
      <c r="J16" s="268">
        <f>Assumptions!C118</f>
        <v>3</v>
      </c>
      <c r="K16" s="268">
        <f>Assumptions!D118</f>
        <v>4</v>
      </c>
      <c r="L16" s="268">
        <f>Assumptions!E118</f>
        <v>5</v>
      </c>
      <c r="M16" s="268">
        <f>Assumptions!F118</f>
        <v>6</v>
      </c>
      <c r="N16" s="268">
        <f>Assumptions!G118</f>
        <v>7</v>
      </c>
      <c r="O16" s="268">
        <f>Assumptions!H118</f>
        <v>8</v>
      </c>
      <c r="P16" s="268">
        <f>Assumptions!I118</f>
        <v>9</v>
      </c>
      <c r="Q16" s="268">
        <f>Assumptions!J118</f>
        <v>10</v>
      </c>
      <c r="R16" s="1"/>
      <c r="S16" s="1"/>
      <c r="T16" s="82"/>
      <c r="U16" s="41"/>
      <c r="V16" s="41"/>
      <c r="W16" s="41"/>
      <c r="X16" s="41"/>
      <c r="Y16" s="41"/>
      <c r="Z16" s="41"/>
    </row>
    <row r="17" ht="15.75" customHeight="1">
      <c r="A17" s="250"/>
      <c r="B17" s="50" t="s">
        <v>177</v>
      </c>
      <c r="C17" s="269">
        <f>Assumptions!D45</f>
        <v>40167.71329</v>
      </c>
      <c r="D17" s="269">
        <f>Assumptions!L45</f>
        <v>144276.5793</v>
      </c>
      <c r="E17" s="269">
        <f>Assumptions!T45</f>
        <v>82398.45827</v>
      </c>
      <c r="F17" s="269">
        <f>Assumptions!AB45</f>
        <v>136857.2492</v>
      </c>
      <c r="G17" s="270">
        <f t="shared" si="1"/>
        <v>403700</v>
      </c>
      <c r="H17" s="1"/>
      <c r="I17" s="271">
        <v>0.055</v>
      </c>
      <c r="J17" s="222">
        <f>Assumptions!C119</f>
        <v>0.2109328032</v>
      </c>
      <c r="K17" s="222">
        <f>Assumptions!D119</f>
        <v>0.2124341075</v>
      </c>
      <c r="L17" s="222">
        <f>Assumptions!E119</f>
        <v>0.2136839287</v>
      </c>
      <c r="M17" s="222">
        <f>Assumptions!F119</f>
        <v>0.2147236046</v>
      </c>
      <c r="N17" s="222">
        <f>Assumptions!G119</f>
        <v>0.2155883218</v>
      </c>
      <c r="O17" s="222">
        <f>Assumptions!H119</f>
        <v>0.2163076615</v>
      </c>
      <c r="P17" s="222">
        <f>Assumptions!I119</f>
        <v>0.216906303</v>
      </c>
      <c r="Q17" s="272">
        <f>Assumptions!J119</f>
        <v>0.2152792199</v>
      </c>
      <c r="R17" s="1"/>
      <c r="S17" s="1"/>
      <c r="T17" s="82"/>
      <c r="U17" s="41"/>
      <c r="V17" s="41"/>
      <c r="W17" s="41"/>
      <c r="X17" s="41"/>
      <c r="Y17" s="41"/>
      <c r="Z17" s="41"/>
    </row>
    <row r="18" ht="15.75" customHeight="1">
      <c r="A18" s="250"/>
      <c r="B18" s="50" t="s">
        <v>178</v>
      </c>
      <c r="C18" s="269">
        <f>Assumptions!D46</f>
        <v>160670.8532</v>
      </c>
      <c r="D18" s="269">
        <f>Assumptions!L46</f>
        <v>577106.3172</v>
      </c>
      <c r="E18" s="269">
        <f>Assumptions!T46</f>
        <v>329593.8331</v>
      </c>
      <c r="F18" s="269">
        <f>Assumptions!AB46</f>
        <v>547428.9966</v>
      </c>
      <c r="G18" s="270">
        <f t="shared" si="1"/>
        <v>1614800</v>
      </c>
      <c r="H18" s="273" t="s">
        <v>179</v>
      </c>
      <c r="I18" s="274">
        <v>0.06</v>
      </c>
      <c r="J18" s="32">
        <f>Assumptions!C120</f>
        <v>0.1956823036</v>
      </c>
      <c r="K18" s="32">
        <f>Assumptions!D120</f>
        <v>0.1980020508</v>
      </c>
      <c r="L18" s="32">
        <f>Assumptions!E120</f>
        <v>0.1999685971</v>
      </c>
      <c r="M18" s="32">
        <f>Assumptions!F120</f>
        <v>0.2016299712</v>
      </c>
      <c r="N18" s="32">
        <f>Assumptions!G120</f>
        <v>0.2030304589</v>
      </c>
      <c r="O18" s="32">
        <f>Assumptions!H120</f>
        <v>0.2042095228</v>
      </c>
      <c r="P18" s="32">
        <f>Assumptions!I120</f>
        <v>0.205201545</v>
      </c>
      <c r="Q18" s="118">
        <f>Assumptions!J120</f>
        <v>0.2038838972</v>
      </c>
      <c r="R18" s="1"/>
      <c r="S18" s="1"/>
      <c r="T18" s="82"/>
      <c r="U18" s="41"/>
      <c r="V18" s="41"/>
      <c r="W18" s="41"/>
      <c r="X18" s="41"/>
      <c r="Y18" s="41"/>
      <c r="Z18" s="41"/>
    </row>
    <row r="19" ht="15.75" customHeight="1">
      <c r="A19" s="250"/>
      <c r="B19" s="50" t="s">
        <v>97</v>
      </c>
      <c r="C19" s="269">
        <f>Assumptions!D48</f>
        <v>1807547.098</v>
      </c>
      <c r="D19" s="269">
        <f>Assumptions!L48</f>
        <v>6492446.068</v>
      </c>
      <c r="E19" s="269">
        <f>Assumptions!T48</f>
        <v>3707930.622</v>
      </c>
      <c r="F19" s="269">
        <f>Assumptions!AB48</f>
        <v>6158576.212</v>
      </c>
      <c r="G19" s="270">
        <f t="shared" si="1"/>
        <v>18166500</v>
      </c>
      <c r="H19" s="1"/>
      <c r="I19" s="275">
        <v>0.065</v>
      </c>
      <c r="J19" s="276">
        <f>Assumptions!C121</f>
        <v>0.1815269619</v>
      </c>
      <c r="K19" s="276">
        <f>Assumptions!D121</f>
        <v>0.1845466712</v>
      </c>
      <c r="L19" s="276">
        <f>Assumptions!E121</f>
        <v>0.1871493206</v>
      </c>
      <c r="M19" s="276">
        <f>Assumptions!F121</f>
        <v>0.1893791305</v>
      </c>
      <c r="N19" s="276">
        <f>Assumptions!G121</f>
        <v>0.1912815111</v>
      </c>
      <c r="O19" s="276">
        <f>Assumptions!H121</f>
        <v>0.1928999745</v>
      </c>
      <c r="P19" s="276">
        <f>Assumptions!I121</f>
        <v>0.1942744379</v>
      </c>
      <c r="Q19" s="121">
        <f>Assumptions!J121</f>
        <v>0.1932575639</v>
      </c>
      <c r="R19" s="1"/>
      <c r="S19" s="1"/>
      <c r="T19" s="82"/>
      <c r="U19" s="41"/>
      <c r="V19" s="41"/>
      <c r="W19" s="41"/>
      <c r="X19" s="41"/>
      <c r="Y19" s="41"/>
      <c r="Z19" s="41"/>
    </row>
    <row r="20" ht="15.75" customHeight="1">
      <c r="A20" s="250"/>
      <c r="B20" s="50"/>
      <c r="C20" s="269"/>
      <c r="D20" s="269"/>
      <c r="E20" s="269"/>
      <c r="F20" s="269"/>
      <c r="G20" s="270"/>
      <c r="H20" s="1"/>
      <c r="I20" s="8"/>
      <c r="J20" s="8"/>
      <c r="K20" s="8"/>
      <c r="L20" s="8"/>
      <c r="M20" s="8"/>
      <c r="N20" s="8"/>
      <c r="O20" s="8"/>
      <c r="P20" s="8"/>
      <c r="Q20" s="8"/>
      <c r="R20" s="1"/>
      <c r="S20" s="1"/>
      <c r="T20" s="82"/>
      <c r="U20" s="41"/>
      <c r="V20" s="41"/>
      <c r="W20" s="41"/>
      <c r="X20" s="41"/>
      <c r="Y20" s="41"/>
      <c r="Z20" s="41"/>
    </row>
    <row r="21" ht="15.75" customHeight="1">
      <c r="A21" s="250"/>
      <c r="B21" s="107" t="s">
        <v>99</v>
      </c>
      <c r="C21" s="266">
        <f>Assumptions!D50</f>
        <v>3830708.352</v>
      </c>
      <c r="D21" s="266">
        <f>Assumptions!L50</f>
        <v>13759346.8</v>
      </c>
      <c r="E21" s="266">
        <f>Assumptions!T50</f>
        <v>7858163.595</v>
      </c>
      <c r="F21" s="266">
        <f>Assumptions!AB50</f>
        <v>13051781.25</v>
      </c>
      <c r="G21" s="267">
        <f>SUM(C21:F21)</f>
        <v>38500000</v>
      </c>
      <c r="H21" s="1"/>
      <c r="I21" s="271" t="str">
        <f>I16</f>
        <v>CAP/TERM</v>
      </c>
      <c r="J21" s="277">
        <f>Assumptions!E126</f>
        <v>3</v>
      </c>
      <c r="K21" s="277">
        <f>Assumptions!F126</f>
        <v>4</v>
      </c>
      <c r="L21" s="277">
        <f>Assumptions!G126</f>
        <v>5</v>
      </c>
      <c r="M21" s="277">
        <f>Assumptions!H126</f>
        <v>6</v>
      </c>
      <c r="N21" s="277">
        <f>Assumptions!I126</f>
        <v>7</v>
      </c>
      <c r="O21" s="277">
        <f>Assumptions!J126</f>
        <v>8</v>
      </c>
      <c r="P21" s="277">
        <f>Assumptions!K126</f>
        <v>9</v>
      </c>
      <c r="Q21" s="278">
        <f>Assumptions!L126</f>
        <v>10</v>
      </c>
      <c r="R21" s="1"/>
      <c r="S21" s="1"/>
      <c r="T21" s="82"/>
      <c r="U21" s="41"/>
      <c r="V21" s="41"/>
      <c r="W21" s="41"/>
      <c r="X21" s="41"/>
      <c r="Y21" s="41"/>
      <c r="Z21" s="41"/>
    </row>
    <row r="22" ht="15.75" customHeight="1">
      <c r="A22" s="250"/>
      <c r="B22" s="50"/>
      <c r="C22" s="9"/>
      <c r="D22" s="9"/>
      <c r="E22" s="9"/>
      <c r="F22" s="9"/>
      <c r="G22" s="279"/>
      <c r="H22" s="273" t="s">
        <v>97</v>
      </c>
      <c r="I22" s="274">
        <v>0.055</v>
      </c>
      <c r="J22" s="280">
        <f>Assumptions!E127</f>
        <v>0.1934892562</v>
      </c>
      <c r="K22" s="280">
        <f>Assumptions!F127</f>
        <v>0.1949479906</v>
      </c>
      <c r="L22" s="280">
        <f>Assumptions!G127</f>
        <v>0.1961762451</v>
      </c>
      <c r="M22" s="280">
        <f>Assumptions!H127</f>
        <v>0.1972040329</v>
      </c>
      <c r="N22" s="280">
        <f>Assumptions!I127</f>
        <v>0.1980591018</v>
      </c>
      <c r="O22" s="280">
        <f>Assumptions!J127</f>
        <v>0.1987664416</v>
      </c>
      <c r="P22" s="280">
        <f>Assumptions!K127</f>
        <v>0.1993481496</v>
      </c>
      <c r="Q22" s="281">
        <f>Assumptions!L127</f>
        <v>0.1980349122</v>
      </c>
      <c r="R22" s="1"/>
      <c r="S22" s="1"/>
      <c r="T22" s="82"/>
      <c r="U22" s="41"/>
      <c r="V22" s="41"/>
      <c r="W22" s="41"/>
      <c r="X22" s="41"/>
      <c r="Y22" s="41"/>
      <c r="Z22" s="41"/>
    </row>
    <row r="23" ht="15.75" customHeight="1">
      <c r="A23" s="250"/>
      <c r="B23" s="282" t="s">
        <v>183</v>
      </c>
      <c r="C23" s="283">
        <f t="shared" ref="C23:G23" si="2">C16+C21</f>
        <v>5839094.016</v>
      </c>
      <c r="D23" s="283">
        <f t="shared" si="2"/>
        <v>20973175.76</v>
      </c>
      <c r="E23" s="283">
        <f t="shared" si="2"/>
        <v>11978086.51</v>
      </c>
      <c r="F23" s="283">
        <f t="shared" si="2"/>
        <v>19894643.71</v>
      </c>
      <c r="G23" s="284">
        <f t="shared" si="2"/>
        <v>58685000</v>
      </c>
      <c r="H23" s="1"/>
      <c r="I23" s="274">
        <v>0.06</v>
      </c>
      <c r="J23" s="280">
        <f>Assumptions!E128</f>
        <v>0.1812312415</v>
      </c>
      <c r="K23" s="280">
        <f>Assumptions!F128</f>
        <v>0.1832302417</v>
      </c>
      <c r="L23" s="280">
        <f>Assumptions!G128</f>
        <v>0.1849465943</v>
      </c>
      <c r="M23" s="280">
        <f>Assumptions!H128</f>
        <v>0.1864101531</v>
      </c>
      <c r="N23" s="280">
        <f>Assumptions!I128</f>
        <v>0.1876509056</v>
      </c>
      <c r="O23" s="280">
        <f>Assumptions!J128</f>
        <v>0.1886974619</v>
      </c>
      <c r="P23" s="280">
        <f>Assumptions!K128</f>
        <v>0.1895761959</v>
      </c>
      <c r="Q23" s="118">
        <f>Assumptions!L128</f>
        <v>0.1885255102</v>
      </c>
      <c r="R23" s="1"/>
      <c r="S23" s="1"/>
      <c r="T23" s="82"/>
      <c r="U23" s="41"/>
      <c r="V23" s="41"/>
      <c r="W23" s="41"/>
      <c r="X23" s="41"/>
      <c r="Y23" s="41"/>
      <c r="Z23" s="41"/>
    </row>
    <row r="24" ht="15.75" customHeight="1">
      <c r="A24" s="250"/>
      <c r="B24" s="50"/>
      <c r="C24" s="1"/>
      <c r="D24" s="1"/>
      <c r="E24" s="1"/>
      <c r="F24" s="1"/>
      <c r="G24" s="1"/>
      <c r="H24" s="1"/>
      <c r="I24" s="275">
        <v>0.065</v>
      </c>
      <c r="J24" s="285">
        <f>Assumptions!E129</f>
        <v>0.1700262782</v>
      </c>
      <c r="K24" s="285">
        <f>Assumptions!F129</f>
        <v>0.1724785643</v>
      </c>
      <c r="L24" s="285">
        <f>Assumptions!G129</f>
        <v>0.1746187991</v>
      </c>
      <c r="M24" s="285">
        <f>Assumptions!H129</f>
        <v>0.176471589</v>
      </c>
      <c r="N24" s="285">
        <f>Assumptions!I129</f>
        <v>0.17806492</v>
      </c>
      <c r="O24" s="285">
        <f>Assumptions!J129</f>
        <v>0.1794276559</v>
      </c>
      <c r="P24" s="285">
        <f>Assumptions!K129</f>
        <v>0.1805878557</v>
      </c>
      <c r="Q24" s="286">
        <f>Assumptions!L129</f>
        <v>0.179787579</v>
      </c>
      <c r="R24" s="1"/>
      <c r="S24" s="1"/>
      <c r="T24" s="82"/>
      <c r="U24" s="41"/>
      <c r="V24" s="41"/>
      <c r="W24" s="41"/>
      <c r="X24" s="41"/>
      <c r="Y24" s="41"/>
      <c r="Z24" s="41"/>
    </row>
    <row r="25" ht="15.75" customHeight="1">
      <c r="A25" s="250"/>
      <c r="B25" s="5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82"/>
      <c r="U25" s="41"/>
      <c r="V25" s="41"/>
      <c r="W25" s="41"/>
      <c r="X25" s="41"/>
      <c r="Y25" s="41"/>
      <c r="Z25" s="41"/>
    </row>
    <row r="26" ht="15.75" customHeight="1">
      <c r="A26" s="250"/>
      <c r="B26" s="50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82"/>
      <c r="U26" s="41"/>
      <c r="V26" s="41"/>
      <c r="W26" s="41"/>
      <c r="X26" s="41"/>
      <c r="Y26" s="41"/>
      <c r="Z26" s="41"/>
    </row>
    <row r="27" ht="15.75" customHeight="1">
      <c r="A27" s="287"/>
      <c r="B27" s="83" t="s">
        <v>191</v>
      </c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88"/>
      <c r="U27" s="41"/>
      <c r="V27" s="41"/>
      <c r="W27" s="41"/>
      <c r="X27" s="41"/>
      <c r="Y27" s="41"/>
      <c r="Z27" s="41"/>
    </row>
    <row r="28" ht="15.75" customHeight="1">
      <c r="A28" s="250"/>
      <c r="B28" s="50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82"/>
      <c r="U28" s="41"/>
      <c r="V28" s="41"/>
      <c r="W28" s="41"/>
      <c r="X28" s="41"/>
      <c r="Y28" s="41"/>
      <c r="Z28" s="41"/>
    </row>
    <row r="29" ht="15.75" customHeight="1">
      <c r="A29" s="250"/>
      <c r="B29" s="289" t="s">
        <v>175</v>
      </c>
      <c r="C29" s="290" t="s">
        <v>176</v>
      </c>
      <c r="D29" s="290" t="s">
        <v>127</v>
      </c>
      <c r="E29" s="291">
        <v>0.0</v>
      </c>
      <c r="F29" s="291">
        <v>1.0</v>
      </c>
      <c r="G29" s="291">
        <f t="shared" ref="G29:O29" si="3">F29+1</f>
        <v>2</v>
      </c>
      <c r="H29" s="291">
        <f t="shared" si="3"/>
        <v>3</v>
      </c>
      <c r="I29" s="291">
        <f t="shared" si="3"/>
        <v>4</v>
      </c>
      <c r="J29" s="291">
        <f t="shared" si="3"/>
        <v>5</v>
      </c>
      <c r="K29" s="291">
        <f t="shared" si="3"/>
        <v>6</v>
      </c>
      <c r="L29" s="291">
        <f t="shared" si="3"/>
        <v>7</v>
      </c>
      <c r="M29" s="291">
        <f t="shared" si="3"/>
        <v>8</v>
      </c>
      <c r="N29" s="291">
        <f t="shared" si="3"/>
        <v>9</v>
      </c>
      <c r="O29" s="292">
        <f t="shared" si="3"/>
        <v>10</v>
      </c>
      <c r="P29" s="1"/>
      <c r="Q29" s="1"/>
      <c r="R29" s="1"/>
      <c r="S29" s="1"/>
      <c r="T29" s="82"/>
      <c r="U29" s="41"/>
      <c r="V29" s="41"/>
      <c r="W29" s="41"/>
      <c r="X29" s="41"/>
      <c r="Y29" s="41"/>
      <c r="Z29" s="41"/>
    </row>
    <row r="30" ht="15.75" customHeight="1">
      <c r="A30" s="250"/>
      <c r="B30" s="50" t="s">
        <v>177</v>
      </c>
      <c r="C30" s="137">
        <f>-SUM(F30:O30)/E30</f>
        <v>7.98316757</v>
      </c>
      <c r="D30" s="32">
        <f>IRR(E30:O30)</f>
        <v>0.2911955026</v>
      </c>
      <c r="E30" s="293">
        <f>Waterfall!E62+Waterfall!T62+Waterfall!AI62+Waterfall!AX62</f>
        <v>-403700</v>
      </c>
      <c r="F30" s="293">
        <f>Waterfall!F62+Waterfall!U62+Waterfall!AJ62+Waterfall!AY62</f>
        <v>70357.03451</v>
      </c>
      <c r="G30" s="293">
        <f>Waterfall!G62+Waterfall!V62+Waterfall!AK62+Waterfall!AZ62</f>
        <v>81896.13468</v>
      </c>
      <c r="H30" s="293">
        <f>Waterfall!H62+Waterfall!W62+Waterfall!AL62+Waterfall!BA62</f>
        <v>84353.01873</v>
      </c>
      <c r="I30" s="293">
        <f>Waterfall!I62+Waterfall!X62+Waterfall!AM62+Waterfall!BB62</f>
        <v>33371.66138</v>
      </c>
      <c r="J30" s="293">
        <f>Waterfall!J62+Waterfall!Y62+Waterfall!AN62+Waterfall!BC62</f>
        <v>35978.16966</v>
      </c>
      <c r="K30" s="293">
        <f>Waterfall!K62+Waterfall!Z62+Waterfall!AO62+Waterfall!BD62</f>
        <v>38662.87319</v>
      </c>
      <c r="L30" s="293">
        <f>Waterfall!L62+Waterfall!AA62+Waterfall!AP62+Waterfall!BE62</f>
        <v>41428.11782</v>
      </c>
      <c r="M30" s="293">
        <f>Waterfall!M62+Waterfall!AB62+Waterfall!AQ62+Waterfall!BF62</f>
        <v>44276.31979</v>
      </c>
      <c r="N30" s="293">
        <f>Waterfall!N62+Waterfall!AC62+Waterfall!AR62+Waterfall!BG62</f>
        <v>47209.96782</v>
      </c>
      <c r="O30" s="294">
        <f>Waterfall!O62+Waterfall!AD62+Waterfall!AS62+Waterfall!BH62</f>
        <v>2745271.45</v>
      </c>
      <c r="P30" s="1"/>
      <c r="Q30" s="1"/>
      <c r="R30" s="1"/>
      <c r="S30" s="1"/>
      <c r="T30" s="82"/>
      <c r="U30" s="41"/>
      <c r="V30" s="41"/>
      <c r="W30" s="41"/>
      <c r="X30" s="41"/>
      <c r="Y30" s="41"/>
      <c r="Z30" s="41"/>
    </row>
    <row r="31" ht="15.75" customHeight="1">
      <c r="A31" s="250"/>
      <c r="B31" s="50" t="s">
        <v>178</v>
      </c>
      <c r="C31" s="137">
        <f>IFERROR(-SUM(F31:O31)/E31,0)</f>
        <v>7.98316757</v>
      </c>
      <c r="D31" s="32">
        <f>IFERROR(IRR(E31:O31),0)</f>
        <v>0.2911955026</v>
      </c>
      <c r="E31" s="293">
        <f>Waterfall!E63+Waterfall!T63+Waterfall!AI63+Waterfall!AX63</f>
        <v>-1614800</v>
      </c>
      <c r="F31" s="293">
        <f>Waterfall!F63+Waterfall!U63+Waterfall!AJ63+Waterfall!AY63</f>
        <v>281428.138</v>
      </c>
      <c r="G31" s="293">
        <f>Waterfall!G63+Waterfall!V63+Waterfall!AK63+Waterfall!AZ63</f>
        <v>327584.5387</v>
      </c>
      <c r="H31" s="293">
        <f>Waterfall!H63+Waterfall!W63+Waterfall!AL63+Waterfall!BA63</f>
        <v>337412.0749</v>
      </c>
      <c r="I31" s="293">
        <f>Waterfall!I63+Waterfall!X63+Waterfall!AM63+Waterfall!BB63</f>
        <v>133486.6455</v>
      </c>
      <c r="J31" s="293">
        <f>Waterfall!J63+Waterfall!Y63+Waterfall!AN63+Waterfall!BC63</f>
        <v>143912.6786</v>
      </c>
      <c r="K31" s="293">
        <f>Waterfall!K63+Waterfall!Z63+Waterfall!AO63+Waterfall!BD63</f>
        <v>154651.4928</v>
      </c>
      <c r="L31" s="293">
        <f>Waterfall!L63+Waterfall!AA63+Waterfall!AP63+Waterfall!BE63</f>
        <v>165712.4713</v>
      </c>
      <c r="M31" s="293">
        <f>Waterfall!M63+Waterfall!AB63+Waterfall!AQ63+Waterfall!BF63</f>
        <v>177105.2792</v>
      </c>
      <c r="N31" s="293">
        <f>Waterfall!N63+Waterfall!AC63+Waterfall!AR63+Waterfall!BG63</f>
        <v>188839.8713</v>
      </c>
      <c r="O31" s="294">
        <f>Waterfall!O63+Waterfall!AD63+Waterfall!AS63+Waterfall!BH63</f>
        <v>10981085.8</v>
      </c>
      <c r="P31" s="1"/>
      <c r="Q31" s="1"/>
      <c r="R31" s="1"/>
      <c r="S31" s="1"/>
      <c r="T31" s="82"/>
      <c r="U31" s="41"/>
      <c r="V31" s="41"/>
      <c r="W31" s="41"/>
      <c r="X31" s="41"/>
      <c r="Y31" s="41"/>
      <c r="Z31" s="41"/>
    </row>
    <row r="32" ht="15.75" customHeight="1">
      <c r="A32" s="250"/>
      <c r="B32" s="50" t="s">
        <v>158</v>
      </c>
      <c r="C32" s="137">
        <f t="shared" ref="C32:C33" si="4">-SUM(F32:O32)/E32</f>
        <v>3.373223005</v>
      </c>
      <c r="D32" s="32">
        <f t="shared" ref="D32:D33" si="5">IRR(E32:O32)</f>
        <v>0.1885255102</v>
      </c>
      <c r="E32" s="293">
        <f>Waterfall!E64+Waterfall!T64+Waterfall!AI64+Waterfall!AX64</f>
        <v>-18166500</v>
      </c>
      <c r="F32" s="293">
        <f>Waterfall!F64+Waterfall!U64+Waterfall!AJ64+Waterfall!AY64</f>
        <v>3166066.553</v>
      </c>
      <c r="G32" s="293">
        <f>Waterfall!G64+Waterfall!V64+Waterfall!AK64+Waterfall!AZ64</f>
        <v>3685326.061</v>
      </c>
      <c r="H32" s="293">
        <f>Waterfall!H64+Waterfall!W64+Waterfall!AL64+Waterfall!BA64</f>
        <v>3795885.843</v>
      </c>
      <c r="I32" s="293">
        <f>Waterfall!I64+Waterfall!X64+Waterfall!AM64+Waterfall!BB64</f>
        <v>1501724.762</v>
      </c>
      <c r="J32" s="293">
        <f>Waterfall!J64+Waterfall!Y64+Waterfall!AN64+Waterfall!BC64</f>
        <v>1619017.635</v>
      </c>
      <c r="K32" s="293">
        <f>Waterfall!K64+Waterfall!Z64+Waterfall!AO64+Waterfall!BD64</f>
        <v>1739829.293</v>
      </c>
      <c r="L32" s="293">
        <f>Waterfall!L64+Waterfall!AA64+Waterfall!AP64+Waterfall!BE64</f>
        <v>1864265.302</v>
      </c>
      <c r="M32" s="293">
        <f>Waterfall!M64+Waterfall!AB64+Waterfall!AQ64+Waterfall!BF64</f>
        <v>1992434.391</v>
      </c>
      <c r="N32" s="293">
        <f>Waterfall!N64+Waterfall!AC64+Waterfall!AR64+Waterfall!BG64</f>
        <v>2124448.552</v>
      </c>
      <c r="O32" s="294">
        <f>Waterfall!O64+Waterfall!AD64+Waterfall!AS64+Waterfall!BH64</f>
        <v>39790657.33</v>
      </c>
      <c r="P32" s="1"/>
      <c r="Q32" s="1"/>
      <c r="R32" s="1"/>
      <c r="S32" s="1"/>
      <c r="T32" s="82"/>
      <c r="U32" s="41"/>
      <c r="V32" s="41"/>
      <c r="W32" s="41"/>
      <c r="X32" s="41"/>
      <c r="Y32" s="41"/>
      <c r="Z32" s="41"/>
    </row>
    <row r="33" ht="15.75" customHeight="1">
      <c r="A33" s="250"/>
      <c r="B33" s="242" t="s">
        <v>179</v>
      </c>
      <c r="C33" s="243">
        <f t="shared" si="4"/>
        <v>3.834217462</v>
      </c>
      <c r="D33" s="244">
        <f t="shared" si="5"/>
        <v>0.2038838972</v>
      </c>
      <c r="E33" s="295">
        <f>Waterfall!E65+Waterfall!T65+Waterfall!AI65+Waterfall!AX65</f>
        <v>-20185000</v>
      </c>
      <c r="F33" s="295">
        <f>Waterfall!F65+Waterfall!U65+Waterfall!AJ65+Waterfall!AY65</f>
        <v>3517851.725</v>
      </c>
      <c r="G33" s="295">
        <f>Waterfall!G65+Waterfall!V65+Waterfall!AK65+Waterfall!AZ65</f>
        <v>4094806.734</v>
      </c>
      <c r="H33" s="295">
        <f>Waterfall!H65+Waterfall!W65+Waterfall!AL65+Waterfall!BA65</f>
        <v>4217650.936</v>
      </c>
      <c r="I33" s="295">
        <f>Waterfall!I65+Waterfall!X65+Waterfall!AM65+Waterfall!BB65</f>
        <v>1668583.069</v>
      </c>
      <c r="J33" s="295">
        <f>Waterfall!J65+Waterfall!Y65+Waterfall!AN65+Waterfall!BC65</f>
        <v>1798908.483</v>
      </c>
      <c r="K33" s="295">
        <f>Waterfall!K65+Waterfall!Z65+Waterfall!AO65+Waterfall!BD65</f>
        <v>1933143.659</v>
      </c>
      <c r="L33" s="295">
        <f>Waterfall!L65+Waterfall!AA65+Waterfall!AP65+Waterfall!BE65</f>
        <v>2071405.891</v>
      </c>
      <c r="M33" s="295">
        <f>Waterfall!M65+Waterfall!AB65+Waterfall!AQ65+Waterfall!BF65</f>
        <v>2213815.99</v>
      </c>
      <c r="N33" s="295">
        <f>Waterfall!N65+Waterfall!AC65+Waterfall!AR65+Waterfall!BG65</f>
        <v>2360498.391</v>
      </c>
      <c r="O33" s="296">
        <f>Waterfall!O65+Waterfall!AD65+Waterfall!AS65+Waterfall!BH65</f>
        <v>53517014.58</v>
      </c>
      <c r="P33" s="1"/>
      <c r="Q33" s="1"/>
      <c r="R33" s="1"/>
      <c r="S33" s="1"/>
      <c r="T33" s="82"/>
      <c r="U33" s="41"/>
      <c r="V33" s="41"/>
      <c r="W33" s="41"/>
      <c r="X33" s="41"/>
      <c r="Y33" s="41"/>
      <c r="Z33" s="41"/>
    </row>
    <row r="34" ht="15.75" customHeight="1">
      <c r="A34" s="250"/>
      <c r="B34" s="50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82"/>
      <c r="U34" s="41"/>
      <c r="V34" s="41"/>
      <c r="W34" s="41"/>
      <c r="X34" s="41"/>
      <c r="Y34" s="41"/>
      <c r="Z34" s="41"/>
    </row>
    <row r="35" ht="15.75" customHeight="1">
      <c r="A35" s="41"/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2"/>
      <c r="U35" s="41"/>
      <c r="V35" s="41"/>
      <c r="W35" s="41"/>
      <c r="X35" s="41"/>
      <c r="Y35" s="41"/>
      <c r="Z35" s="41"/>
    </row>
    <row r="36" ht="15.7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ht="15.7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ht="15.7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ht="15.7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ht="15.7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ht="15.7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ht="15.7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ht="15.7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ht="15.7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ht="15.7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ht="15.7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ht="15.7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ht="15.7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ht="15.7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ht="15.7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ht="15.7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ht="15.7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ht="15.7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ht="15.7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ht="15.7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ht="15.7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ht="15.7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ht="15.7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ht="15.7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ht="15.7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ht="15.7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ht="15.7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ht="15.7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ht="15.7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ht="15.7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ht="15.7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ht="15.7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ht="15.7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ht="15.7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ht="15.7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ht="15.7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ht="15.7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ht="15.7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ht="15.7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ht="15.7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ht="15.7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ht="15.7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ht="15.7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ht="15.7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ht="15.7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ht="15.7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ht="15.7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ht="15.7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ht="15.7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ht="15.7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ht="15.7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ht="15.7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ht="15.7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ht="15.7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ht="15.7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ht="15.7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ht="15.7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ht="15.7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ht="15.7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ht="15.7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ht="15.7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ht="15.7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ht="15.7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ht="15.7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ht="15.7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ht="15.7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ht="15.7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ht="15.7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ht="15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ht="15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ht="15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ht="15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ht="15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ht="15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ht="15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ht="15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ht="15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ht="15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ht="15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ht="15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ht="15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ht="15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ht="15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ht="15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ht="15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ht="15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ht="15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ht="15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ht="15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ht="15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ht="15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ht="15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ht="15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ht="15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ht="15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ht="15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ht="15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ht="15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ht="15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ht="15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ht="15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2" width="2.71"/>
    <col customWidth="1" min="3" max="3" width="33.43"/>
    <col customWidth="1" min="4" max="97" width="11.43"/>
    <col customWidth="1" min="98" max="122" width="10.29"/>
    <col customWidth="1" min="123" max="123" width="12.0"/>
    <col customWidth="1" min="124" max="135" width="10.29"/>
  </cols>
  <sheetData>
    <row r="1" ht="15.75" customHeight="1">
      <c r="A1" s="297"/>
      <c r="B1" s="297"/>
      <c r="C1" s="298" t="s">
        <v>192</v>
      </c>
      <c r="D1" s="297">
        <v>1.0</v>
      </c>
      <c r="E1" s="297">
        <f t="shared" ref="E1:EE1" si="1">D1+1</f>
        <v>2</v>
      </c>
      <c r="F1" s="297">
        <f t="shared" si="1"/>
        <v>3</v>
      </c>
      <c r="G1" s="297">
        <f t="shared" si="1"/>
        <v>4</v>
      </c>
      <c r="H1" s="297">
        <f t="shared" si="1"/>
        <v>5</v>
      </c>
      <c r="I1" s="297">
        <f t="shared" si="1"/>
        <v>6</v>
      </c>
      <c r="J1" s="297">
        <f t="shared" si="1"/>
        <v>7</v>
      </c>
      <c r="K1" s="297">
        <f t="shared" si="1"/>
        <v>8</v>
      </c>
      <c r="L1" s="297">
        <f t="shared" si="1"/>
        <v>9</v>
      </c>
      <c r="M1" s="297">
        <f t="shared" si="1"/>
        <v>10</v>
      </c>
      <c r="N1" s="297">
        <f t="shared" si="1"/>
        <v>11</v>
      </c>
      <c r="O1" s="297">
        <f t="shared" si="1"/>
        <v>12</v>
      </c>
      <c r="P1" s="297">
        <f t="shared" si="1"/>
        <v>13</v>
      </c>
      <c r="Q1" s="297">
        <f t="shared" si="1"/>
        <v>14</v>
      </c>
      <c r="R1" s="297">
        <f t="shared" si="1"/>
        <v>15</v>
      </c>
      <c r="S1" s="297">
        <f t="shared" si="1"/>
        <v>16</v>
      </c>
      <c r="T1" s="297">
        <f t="shared" si="1"/>
        <v>17</v>
      </c>
      <c r="U1" s="297">
        <f t="shared" si="1"/>
        <v>18</v>
      </c>
      <c r="V1" s="297">
        <f t="shared" si="1"/>
        <v>19</v>
      </c>
      <c r="W1" s="297">
        <f t="shared" si="1"/>
        <v>20</v>
      </c>
      <c r="X1" s="297">
        <f t="shared" si="1"/>
        <v>21</v>
      </c>
      <c r="Y1" s="297">
        <f t="shared" si="1"/>
        <v>22</v>
      </c>
      <c r="Z1" s="297">
        <f t="shared" si="1"/>
        <v>23</v>
      </c>
      <c r="AA1" s="297">
        <f t="shared" si="1"/>
        <v>24</v>
      </c>
      <c r="AB1" s="297">
        <f t="shared" si="1"/>
        <v>25</v>
      </c>
      <c r="AC1" s="297">
        <f t="shared" si="1"/>
        <v>26</v>
      </c>
      <c r="AD1" s="297">
        <f t="shared" si="1"/>
        <v>27</v>
      </c>
      <c r="AE1" s="297">
        <f t="shared" si="1"/>
        <v>28</v>
      </c>
      <c r="AF1" s="297">
        <f t="shared" si="1"/>
        <v>29</v>
      </c>
      <c r="AG1" s="297">
        <f t="shared" si="1"/>
        <v>30</v>
      </c>
      <c r="AH1" s="297">
        <f t="shared" si="1"/>
        <v>31</v>
      </c>
      <c r="AI1" s="297">
        <f t="shared" si="1"/>
        <v>32</v>
      </c>
      <c r="AJ1" s="297">
        <f t="shared" si="1"/>
        <v>33</v>
      </c>
      <c r="AK1" s="297">
        <f t="shared" si="1"/>
        <v>34</v>
      </c>
      <c r="AL1" s="297">
        <f t="shared" si="1"/>
        <v>35</v>
      </c>
      <c r="AM1" s="297">
        <f t="shared" si="1"/>
        <v>36</v>
      </c>
      <c r="AN1" s="297">
        <f t="shared" si="1"/>
        <v>37</v>
      </c>
      <c r="AO1" s="297">
        <f t="shared" si="1"/>
        <v>38</v>
      </c>
      <c r="AP1" s="297">
        <f t="shared" si="1"/>
        <v>39</v>
      </c>
      <c r="AQ1" s="297">
        <f t="shared" si="1"/>
        <v>40</v>
      </c>
      <c r="AR1" s="297">
        <f t="shared" si="1"/>
        <v>41</v>
      </c>
      <c r="AS1" s="297">
        <f t="shared" si="1"/>
        <v>42</v>
      </c>
      <c r="AT1" s="297">
        <f t="shared" si="1"/>
        <v>43</v>
      </c>
      <c r="AU1" s="297">
        <f t="shared" si="1"/>
        <v>44</v>
      </c>
      <c r="AV1" s="297">
        <f t="shared" si="1"/>
        <v>45</v>
      </c>
      <c r="AW1" s="297">
        <f t="shared" si="1"/>
        <v>46</v>
      </c>
      <c r="AX1" s="297">
        <f t="shared" si="1"/>
        <v>47</v>
      </c>
      <c r="AY1" s="297">
        <f t="shared" si="1"/>
        <v>48</v>
      </c>
      <c r="AZ1" s="297">
        <f t="shared" si="1"/>
        <v>49</v>
      </c>
      <c r="BA1" s="297">
        <f t="shared" si="1"/>
        <v>50</v>
      </c>
      <c r="BB1" s="297">
        <f t="shared" si="1"/>
        <v>51</v>
      </c>
      <c r="BC1" s="297">
        <f t="shared" si="1"/>
        <v>52</v>
      </c>
      <c r="BD1" s="297">
        <f t="shared" si="1"/>
        <v>53</v>
      </c>
      <c r="BE1" s="297">
        <f t="shared" si="1"/>
        <v>54</v>
      </c>
      <c r="BF1" s="297">
        <f t="shared" si="1"/>
        <v>55</v>
      </c>
      <c r="BG1" s="297">
        <f t="shared" si="1"/>
        <v>56</v>
      </c>
      <c r="BH1" s="297">
        <f t="shared" si="1"/>
        <v>57</v>
      </c>
      <c r="BI1" s="297">
        <f t="shared" si="1"/>
        <v>58</v>
      </c>
      <c r="BJ1" s="297">
        <f t="shared" si="1"/>
        <v>59</v>
      </c>
      <c r="BK1" s="297">
        <f t="shared" si="1"/>
        <v>60</v>
      </c>
      <c r="BL1" s="297">
        <f t="shared" si="1"/>
        <v>61</v>
      </c>
      <c r="BM1" s="297">
        <f t="shared" si="1"/>
        <v>62</v>
      </c>
      <c r="BN1" s="297">
        <f t="shared" si="1"/>
        <v>63</v>
      </c>
      <c r="BO1" s="297">
        <f t="shared" si="1"/>
        <v>64</v>
      </c>
      <c r="BP1" s="297">
        <f t="shared" si="1"/>
        <v>65</v>
      </c>
      <c r="BQ1" s="297">
        <f t="shared" si="1"/>
        <v>66</v>
      </c>
      <c r="BR1" s="297">
        <f t="shared" si="1"/>
        <v>67</v>
      </c>
      <c r="BS1" s="297">
        <f t="shared" si="1"/>
        <v>68</v>
      </c>
      <c r="BT1" s="297">
        <f t="shared" si="1"/>
        <v>69</v>
      </c>
      <c r="BU1" s="297">
        <f t="shared" si="1"/>
        <v>70</v>
      </c>
      <c r="BV1" s="297">
        <f t="shared" si="1"/>
        <v>71</v>
      </c>
      <c r="BW1" s="297">
        <f t="shared" si="1"/>
        <v>72</v>
      </c>
      <c r="BX1" s="297">
        <f t="shared" si="1"/>
        <v>73</v>
      </c>
      <c r="BY1" s="297">
        <f t="shared" si="1"/>
        <v>74</v>
      </c>
      <c r="BZ1" s="297">
        <f t="shared" si="1"/>
        <v>75</v>
      </c>
      <c r="CA1" s="297">
        <f t="shared" si="1"/>
        <v>76</v>
      </c>
      <c r="CB1" s="297">
        <f t="shared" si="1"/>
        <v>77</v>
      </c>
      <c r="CC1" s="297">
        <f t="shared" si="1"/>
        <v>78</v>
      </c>
      <c r="CD1" s="297">
        <f t="shared" si="1"/>
        <v>79</v>
      </c>
      <c r="CE1" s="297">
        <f t="shared" si="1"/>
        <v>80</v>
      </c>
      <c r="CF1" s="297">
        <f t="shared" si="1"/>
        <v>81</v>
      </c>
      <c r="CG1" s="297">
        <f t="shared" si="1"/>
        <v>82</v>
      </c>
      <c r="CH1" s="297">
        <f t="shared" si="1"/>
        <v>83</v>
      </c>
      <c r="CI1" s="297">
        <f t="shared" si="1"/>
        <v>84</v>
      </c>
      <c r="CJ1" s="297">
        <f t="shared" si="1"/>
        <v>85</v>
      </c>
      <c r="CK1" s="297">
        <f t="shared" si="1"/>
        <v>86</v>
      </c>
      <c r="CL1" s="297">
        <f t="shared" si="1"/>
        <v>87</v>
      </c>
      <c r="CM1" s="297">
        <f t="shared" si="1"/>
        <v>88</v>
      </c>
      <c r="CN1" s="297">
        <f t="shared" si="1"/>
        <v>89</v>
      </c>
      <c r="CO1" s="297">
        <f t="shared" si="1"/>
        <v>90</v>
      </c>
      <c r="CP1" s="297">
        <f t="shared" si="1"/>
        <v>91</v>
      </c>
      <c r="CQ1" s="297">
        <f t="shared" si="1"/>
        <v>92</v>
      </c>
      <c r="CR1" s="297">
        <f t="shared" si="1"/>
        <v>93</v>
      </c>
      <c r="CS1" s="297">
        <f t="shared" si="1"/>
        <v>94</v>
      </c>
      <c r="CT1" s="297">
        <f t="shared" si="1"/>
        <v>95</v>
      </c>
      <c r="CU1" s="297">
        <f t="shared" si="1"/>
        <v>96</v>
      </c>
      <c r="CV1" s="297">
        <f t="shared" si="1"/>
        <v>97</v>
      </c>
      <c r="CW1" s="297">
        <f t="shared" si="1"/>
        <v>98</v>
      </c>
      <c r="CX1" s="297">
        <f t="shared" si="1"/>
        <v>99</v>
      </c>
      <c r="CY1" s="297">
        <f t="shared" si="1"/>
        <v>100</v>
      </c>
      <c r="CZ1" s="297">
        <f t="shared" si="1"/>
        <v>101</v>
      </c>
      <c r="DA1" s="297">
        <f t="shared" si="1"/>
        <v>102</v>
      </c>
      <c r="DB1" s="297">
        <f t="shared" si="1"/>
        <v>103</v>
      </c>
      <c r="DC1" s="297">
        <f t="shared" si="1"/>
        <v>104</v>
      </c>
      <c r="DD1" s="297">
        <f t="shared" si="1"/>
        <v>105</v>
      </c>
      <c r="DE1" s="297">
        <f t="shared" si="1"/>
        <v>106</v>
      </c>
      <c r="DF1" s="297">
        <f t="shared" si="1"/>
        <v>107</v>
      </c>
      <c r="DG1" s="297">
        <f t="shared" si="1"/>
        <v>108</v>
      </c>
      <c r="DH1" s="297">
        <f t="shared" si="1"/>
        <v>109</v>
      </c>
      <c r="DI1" s="297">
        <f t="shared" si="1"/>
        <v>110</v>
      </c>
      <c r="DJ1" s="297">
        <f t="shared" si="1"/>
        <v>111</v>
      </c>
      <c r="DK1" s="297">
        <f t="shared" si="1"/>
        <v>112</v>
      </c>
      <c r="DL1" s="297">
        <f t="shared" si="1"/>
        <v>113</v>
      </c>
      <c r="DM1" s="297">
        <f t="shared" si="1"/>
        <v>114</v>
      </c>
      <c r="DN1" s="297">
        <f t="shared" si="1"/>
        <v>115</v>
      </c>
      <c r="DO1" s="297">
        <f t="shared" si="1"/>
        <v>116</v>
      </c>
      <c r="DP1" s="297">
        <f t="shared" si="1"/>
        <v>117</v>
      </c>
      <c r="DQ1" s="297">
        <f t="shared" si="1"/>
        <v>118</v>
      </c>
      <c r="DR1" s="297">
        <f t="shared" si="1"/>
        <v>119</v>
      </c>
      <c r="DS1" s="297">
        <f t="shared" si="1"/>
        <v>120</v>
      </c>
      <c r="DT1" s="297">
        <f t="shared" si="1"/>
        <v>121</v>
      </c>
      <c r="DU1" s="297">
        <f t="shared" si="1"/>
        <v>122</v>
      </c>
      <c r="DV1" s="297">
        <f t="shared" si="1"/>
        <v>123</v>
      </c>
      <c r="DW1" s="297">
        <f t="shared" si="1"/>
        <v>124</v>
      </c>
      <c r="DX1" s="297">
        <f t="shared" si="1"/>
        <v>125</v>
      </c>
      <c r="DY1" s="297">
        <f t="shared" si="1"/>
        <v>126</v>
      </c>
      <c r="DZ1" s="297">
        <f t="shared" si="1"/>
        <v>127</v>
      </c>
      <c r="EA1" s="297">
        <f t="shared" si="1"/>
        <v>128</v>
      </c>
      <c r="EB1" s="297">
        <f t="shared" si="1"/>
        <v>129</v>
      </c>
      <c r="EC1" s="297">
        <f t="shared" si="1"/>
        <v>130</v>
      </c>
      <c r="ED1" s="297">
        <f t="shared" si="1"/>
        <v>131</v>
      </c>
      <c r="EE1" s="297">
        <f t="shared" si="1"/>
        <v>132</v>
      </c>
    </row>
    <row r="2" ht="15.75" customHeight="1">
      <c r="A2" s="297"/>
      <c r="B2" s="297"/>
      <c r="C2" s="298" t="s">
        <v>136</v>
      </c>
      <c r="D2" s="297">
        <f t="shared" ref="D2:EE2" si="2">ROUNDUP(D1/12,0)</f>
        <v>1</v>
      </c>
      <c r="E2" s="297">
        <f t="shared" si="2"/>
        <v>1</v>
      </c>
      <c r="F2" s="297">
        <f t="shared" si="2"/>
        <v>1</v>
      </c>
      <c r="G2" s="297">
        <f t="shared" si="2"/>
        <v>1</v>
      </c>
      <c r="H2" s="297">
        <f t="shared" si="2"/>
        <v>1</v>
      </c>
      <c r="I2" s="297">
        <f t="shared" si="2"/>
        <v>1</v>
      </c>
      <c r="J2" s="297">
        <f t="shared" si="2"/>
        <v>1</v>
      </c>
      <c r="K2" s="297">
        <f t="shared" si="2"/>
        <v>1</v>
      </c>
      <c r="L2" s="297">
        <f t="shared" si="2"/>
        <v>1</v>
      </c>
      <c r="M2" s="297">
        <f t="shared" si="2"/>
        <v>1</v>
      </c>
      <c r="N2" s="297">
        <f t="shared" si="2"/>
        <v>1</v>
      </c>
      <c r="O2" s="297">
        <f t="shared" si="2"/>
        <v>1</v>
      </c>
      <c r="P2" s="297">
        <f t="shared" si="2"/>
        <v>2</v>
      </c>
      <c r="Q2" s="297">
        <f t="shared" si="2"/>
        <v>2</v>
      </c>
      <c r="R2" s="297">
        <f t="shared" si="2"/>
        <v>2</v>
      </c>
      <c r="S2" s="297">
        <f t="shared" si="2"/>
        <v>2</v>
      </c>
      <c r="T2" s="297">
        <f t="shared" si="2"/>
        <v>2</v>
      </c>
      <c r="U2" s="297">
        <f t="shared" si="2"/>
        <v>2</v>
      </c>
      <c r="V2" s="297">
        <f t="shared" si="2"/>
        <v>2</v>
      </c>
      <c r="W2" s="297">
        <f t="shared" si="2"/>
        <v>2</v>
      </c>
      <c r="X2" s="297">
        <f t="shared" si="2"/>
        <v>2</v>
      </c>
      <c r="Y2" s="297">
        <f t="shared" si="2"/>
        <v>2</v>
      </c>
      <c r="Z2" s="297">
        <f t="shared" si="2"/>
        <v>2</v>
      </c>
      <c r="AA2" s="297">
        <f t="shared" si="2"/>
        <v>2</v>
      </c>
      <c r="AB2" s="297">
        <f t="shared" si="2"/>
        <v>3</v>
      </c>
      <c r="AC2" s="297">
        <f t="shared" si="2"/>
        <v>3</v>
      </c>
      <c r="AD2" s="297">
        <f t="shared" si="2"/>
        <v>3</v>
      </c>
      <c r="AE2" s="297">
        <f t="shared" si="2"/>
        <v>3</v>
      </c>
      <c r="AF2" s="297">
        <f t="shared" si="2"/>
        <v>3</v>
      </c>
      <c r="AG2" s="297">
        <f t="shared" si="2"/>
        <v>3</v>
      </c>
      <c r="AH2" s="297">
        <f t="shared" si="2"/>
        <v>3</v>
      </c>
      <c r="AI2" s="297">
        <f t="shared" si="2"/>
        <v>3</v>
      </c>
      <c r="AJ2" s="297">
        <f t="shared" si="2"/>
        <v>3</v>
      </c>
      <c r="AK2" s="297">
        <f t="shared" si="2"/>
        <v>3</v>
      </c>
      <c r="AL2" s="297">
        <f t="shared" si="2"/>
        <v>3</v>
      </c>
      <c r="AM2" s="297">
        <f t="shared" si="2"/>
        <v>3</v>
      </c>
      <c r="AN2" s="297">
        <f t="shared" si="2"/>
        <v>4</v>
      </c>
      <c r="AO2" s="297">
        <f t="shared" si="2"/>
        <v>4</v>
      </c>
      <c r="AP2" s="297">
        <f t="shared" si="2"/>
        <v>4</v>
      </c>
      <c r="AQ2" s="297">
        <f t="shared" si="2"/>
        <v>4</v>
      </c>
      <c r="AR2" s="297">
        <f t="shared" si="2"/>
        <v>4</v>
      </c>
      <c r="AS2" s="297">
        <f t="shared" si="2"/>
        <v>4</v>
      </c>
      <c r="AT2" s="297">
        <f t="shared" si="2"/>
        <v>4</v>
      </c>
      <c r="AU2" s="297">
        <f t="shared" si="2"/>
        <v>4</v>
      </c>
      <c r="AV2" s="297">
        <f t="shared" si="2"/>
        <v>4</v>
      </c>
      <c r="AW2" s="297">
        <f t="shared" si="2"/>
        <v>4</v>
      </c>
      <c r="AX2" s="297">
        <f t="shared" si="2"/>
        <v>4</v>
      </c>
      <c r="AY2" s="297">
        <f t="shared" si="2"/>
        <v>4</v>
      </c>
      <c r="AZ2" s="297">
        <f t="shared" si="2"/>
        <v>5</v>
      </c>
      <c r="BA2" s="297">
        <f t="shared" si="2"/>
        <v>5</v>
      </c>
      <c r="BB2" s="297">
        <f t="shared" si="2"/>
        <v>5</v>
      </c>
      <c r="BC2" s="297">
        <f t="shared" si="2"/>
        <v>5</v>
      </c>
      <c r="BD2" s="297">
        <f t="shared" si="2"/>
        <v>5</v>
      </c>
      <c r="BE2" s="297">
        <f t="shared" si="2"/>
        <v>5</v>
      </c>
      <c r="BF2" s="297">
        <f t="shared" si="2"/>
        <v>5</v>
      </c>
      <c r="BG2" s="297">
        <f t="shared" si="2"/>
        <v>5</v>
      </c>
      <c r="BH2" s="297">
        <f t="shared" si="2"/>
        <v>5</v>
      </c>
      <c r="BI2" s="297">
        <f t="shared" si="2"/>
        <v>5</v>
      </c>
      <c r="BJ2" s="297">
        <f t="shared" si="2"/>
        <v>5</v>
      </c>
      <c r="BK2" s="297">
        <f t="shared" si="2"/>
        <v>5</v>
      </c>
      <c r="BL2" s="297">
        <f t="shared" si="2"/>
        <v>6</v>
      </c>
      <c r="BM2" s="297">
        <f t="shared" si="2"/>
        <v>6</v>
      </c>
      <c r="BN2" s="297">
        <f t="shared" si="2"/>
        <v>6</v>
      </c>
      <c r="BO2" s="297">
        <f t="shared" si="2"/>
        <v>6</v>
      </c>
      <c r="BP2" s="297">
        <f t="shared" si="2"/>
        <v>6</v>
      </c>
      <c r="BQ2" s="297">
        <f t="shared" si="2"/>
        <v>6</v>
      </c>
      <c r="BR2" s="297">
        <f t="shared" si="2"/>
        <v>6</v>
      </c>
      <c r="BS2" s="297">
        <f t="shared" si="2"/>
        <v>6</v>
      </c>
      <c r="BT2" s="297">
        <f t="shared" si="2"/>
        <v>6</v>
      </c>
      <c r="BU2" s="297">
        <f t="shared" si="2"/>
        <v>6</v>
      </c>
      <c r="BV2" s="297">
        <f t="shared" si="2"/>
        <v>6</v>
      </c>
      <c r="BW2" s="297">
        <f t="shared" si="2"/>
        <v>6</v>
      </c>
      <c r="BX2" s="297">
        <f t="shared" si="2"/>
        <v>7</v>
      </c>
      <c r="BY2" s="297">
        <f t="shared" si="2"/>
        <v>7</v>
      </c>
      <c r="BZ2" s="297">
        <f t="shared" si="2"/>
        <v>7</v>
      </c>
      <c r="CA2" s="297">
        <f t="shared" si="2"/>
        <v>7</v>
      </c>
      <c r="CB2" s="297">
        <f t="shared" si="2"/>
        <v>7</v>
      </c>
      <c r="CC2" s="297">
        <f t="shared" si="2"/>
        <v>7</v>
      </c>
      <c r="CD2" s="297">
        <f t="shared" si="2"/>
        <v>7</v>
      </c>
      <c r="CE2" s="297">
        <f t="shared" si="2"/>
        <v>7</v>
      </c>
      <c r="CF2" s="297">
        <f t="shared" si="2"/>
        <v>7</v>
      </c>
      <c r="CG2" s="297">
        <f t="shared" si="2"/>
        <v>7</v>
      </c>
      <c r="CH2" s="297">
        <f t="shared" si="2"/>
        <v>7</v>
      </c>
      <c r="CI2" s="297">
        <f t="shared" si="2"/>
        <v>7</v>
      </c>
      <c r="CJ2" s="297">
        <f t="shared" si="2"/>
        <v>8</v>
      </c>
      <c r="CK2" s="297">
        <f t="shared" si="2"/>
        <v>8</v>
      </c>
      <c r="CL2" s="297">
        <f t="shared" si="2"/>
        <v>8</v>
      </c>
      <c r="CM2" s="297">
        <f t="shared" si="2"/>
        <v>8</v>
      </c>
      <c r="CN2" s="297">
        <f t="shared" si="2"/>
        <v>8</v>
      </c>
      <c r="CO2" s="297">
        <f t="shared" si="2"/>
        <v>8</v>
      </c>
      <c r="CP2" s="297">
        <f t="shared" si="2"/>
        <v>8</v>
      </c>
      <c r="CQ2" s="297">
        <f t="shared" si="2"/>
        <v>8</v>
      </c>
      <c r="CR2" s="297">
        <f t="shared" si="2"/>
        <v>8</v>
      </c>
      <c r="CS2" s="297">
        <f t="shared" si="2"/>
        <v>8</v>
      </c>
      <c r="CT2" s="297">
        <f t="shared" si="2"/>
        <v>8</v>
      </c>
      <c r="CU2" s="297">
        <f t="shared" si="2"/>
        <v>8</v>
      </c>
      <c r="CV2" s="297">
        <f t="shared" si="2"/>
        <v>9</v>
      </c>
      <c r="CW2" s="297">
        <f t="shared" si="2"/>
        <v>9</v>
      </c>
      <c r="CX2" s="297">
        <f t="shared" si="2"/>
        <v>9</v>
      </c>
      <c r="CY2" s="297">
        <f t="shared" si="2"/>
        <v>9</v>
      </c>
      <c r="CZ2" s="297">
        <f t="shared" si="2"/>
        <v>9</v>
      </c>
      <c r="DA2" s="297">
        <f t="shared" si="2"/>
        <v>9</v>
      </c>
      <c r="DB2" s="297">
        <f t="shared" si="2"/>
        <v>9</v>
      </c>
      <c r="DC2" s="297">
        <f t="shared" si="2"/>
        <v>9</v>
      </c>
      <c r="DD2" s="297">
        <f t="shared" si="2"/>
        <v>9</v>
      </c>
      <c r="DE2" s="297">
        <f t="shared" si="2"/>
        <v>9</v>
      </c>
      <c r="DF2" s="297">
        <f t="shared" si="2"/>
        <v>9</v>
      </c>
      <c r="DG2" s="297">
        <f t="shared" si="2"/>
        <v>9</v>
      </c>
      <c r="DH2" s="297">
        <f t="shared" si="2"/>
        <v>10</v>
      </c>
      <c r="DI2" s="297">
        <f t="shared" si="2"/>
        <v>10</v>
      </c>
      <c r="DJ2" s="297">
        <f t="shared" si="2"/>
        <v>10</v>
      </c>
      <c r="DK2" s="297">
        <f t="shared" si="2"/>
        <v>10</v>
      </c>
      <c r="DL2" s="297">
        <f t="shared" si="2"/>
        <v>10</v>
      </c>
      <c r="DM2" s="297">
        <f t="shared" si="2"/>
        <v>10</v>
      </c>
      <c r="DN2" s="297">
        <f t="shared" si="2"/>
        <v>10</v>
      </c>
      <c r="DO2" s="297">
        <f t="shared" si="2"/>
        <v>10</v>
      </c>
      <c r="DP2" s="297">
        <f t="shared" si="2"/>
        <v>10</v>
      </c>
      <c r="DQ2" s="297">
        <f t="shared" si="2"/>
        <v>10</v>
      </c>
      <c r="DR2" s="297">
        <f t="shared" si="2"/>
        <v>10</v>
      </c>
      <c r="DS2" s="297">
        <f t="shared" si="2"/>
        <v>10</v>
      </c>
      <c r="DT2" s="297">
        <f t="shared" si="2"/>
        <v>11</v>
      </c>
      <c r="DU2" s="297">
        <f t="shared" si="2"/>
        <v>11</v>
      </c>
      <c r="DV2" s="297">
        <f t="shared" si="2"/>
        <v>11</v>
      </c>
      <c r="DW2" s="297">
        <f t="shared" si="2"/>
        <v>11</v>
      </c>
      <c r="DX2" s="297">
        <f t="shared" si="2"/>
        <v>11</v>
      </c>
      <c r="DY2" s="297">
        <f t="shared" si="2"/>
        <v>11</v>
      </c>
      <c r="DZ2" s="297">
        <f t="shared" si="2"/>
        <v>11</v>
      </c>
      <c r="EA2" s="299">
        <f t="shared" si="2"/>
        <v>11</v>
      </c>
      <c r="EB2" s="297">
        <f t="shared" si="2"/>
        <v>11</v>
      </c>
      <c r="EC2" s="297">
        <f t="shared" si="2"/>
        <v>11</v>
      </c>
      <c r="ED2" s="297">
        <f t="shared" si="2"/>
        <v>11</v>
      </c>
      <c r="EE2" s="300">
        <f t="shared" si="2"/>
        <v>11</v>
      </c>
    </row>
    <row r="3" ht="15.75" customHeight="1">
      <c r="A3" s="1"/>
      <c r="B3" s="1"/>
      <c r="C3" s="1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9" t="s">
        <v>193</v>
      </c>
      <c r="C4" s="1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Assumptions!B5</f>
        <v>2x2</v>
      </c>
      <c r="D5" s="54">
        <f t="array" ref="D5">IF(D$2=1,Assumptions!$H5/12,(SUMIF($D$2:$EE$2,D$2-1,$D5:$EE5)/12)*(1+XLOOKUP(D$2,Assumptions!$C$94:$M$94,Assumptions!$C$97:$M$97)))</f>
        <v>21419.937</v>
      </c>
      <c r="E5" s="54">
        <f t="array" ref="E5">IF(E$2=1,Assumptions!$H5/12,(SUMIF($D$2:$EE$2,E$2-1,$D5:$EE5)/12)*(1+XLOOKUP(E$2,Assumptions!$C$94:$M$94,Assumptions!$C$97:$M$97)))</f>
        <v>21419.937</v>
      </c>
      <c r="F5" s="54">
        <f t="array" ref="F5">IF(F$2=1,Assumptions!$H5/12,(SUMIF($D$2:$EE$2,F$2-1,$D5:$EE5)/12)*(1+XLOOKUP(F$2,Assumptions!$C$94:$M$94,Assumptions!$C$97:$M$97)))</f>
        <v>21419.937</v>
      </c>
      <c r="G5" s="54">
        <f t="array" ref="G5">IF(G$2=1,Assumptions!$H5/12,(SUMIF($D$2:$EE$2,G$2-1,$D5:$EE5)/12)*(1+XLOOKUP(G$2,Assumptions!$C$94:$M$94,Assumptions!$C$97:$M$97)))</f>
        <v>21419.937</v>
      </c>
      <c r="H5" s="54">
        <f t="array" ref="H5">IF(H$2=1,Assumptions!$H5/12,(SUMIF($D$2:$EE$2,H$2-1,$D5:$EE5)/12)*(1+XLOOKUP(H$2,Assumptions!$C$94:$M$94,Assumptions!$C$97:$M$97)))</f>
        <v>21419.937</v>
      </c>
      <c r="I5" s="54">
        <f t="array" ref="I5">IF(I$2=1,Assumptions!$H5/12,(SUMIF($D$2:$EE$2,I$2-1,$D5:$EE5)/12)*(1+XLOOKUP(I$2,Assumptions!$C$94:$M$94,Assumptions!$C$97:$M$97)))</f>
        <v>21419.937</v>
      </c>
      <c r="J5" s="54">
        <f t="array" ref="J5">IF(J$2=1,Assumptions!$H5/12,(SUMIF($D$2:$EE$2,J$2-1,$D5:$EE5)/12)*(1+XLOOKUP(J$2,Assumptions!$C$94:$M$94,Assumptions!$C$97:$M$97)))</f>
        <v>21419.937</v>
      </c>
      <c r="K5" s="54">
        <f t="array" ref="K5">IF(K$2=1,Assumptions!$H5/12,(SUMIF($D$2:$EE$2,K$2-1,$D5:$EE5)/12)*(1+XLOOKUP(K$2,Assumptions!$C$94:$M$94,Assumptions!$C$97:$M$97)))</f>
        <v>21419.937</v>
      </c>
      <c r="L5" s="54">
        <f t="array" ref="L5">IF(L$2=1,Assumptions!$H5/12,(SUMIF($D$2:$EE$2,L$2-1,$D5:$EE5)/12)*(1+XLOOKUP(L$2,Assumptions!$C$94:$M$94,Assumptions!$C$97:$M$97)))</f>
        <v>21419.937</v>
      </c>
      <c r="M5" s="54">
        <f t="array" ref="M5">IF(M$2=1,Assumptions!$H5/12,(SUMIF($D$2:$EE$2,M$2-1,$D5:$EE5)/12)*(1+XLOOKUP(M$2,Assumptions!$C$94:$M$94,Assumptions!$C$97:$M$97)))</f>
        <v>21419.937</v>
      </c>
      <c r="N5" s="54">
        <f t="array" ref="N5">IF(N$2=1,Assumptions!$H5/12,(SUMIF($D$2:$EE$2,N$2-1,$D5:$EE5)/12)*(1+XLOOKUP(N$2,Assumptions!$C$94:$M$94,Assumptions!$C$97:$M$97)))</f>
        <v>21419.937</v>
      </c>
      <c r="O5" s="54">
        <f t="array" ref="O5">IF(O$2=1,Assumptions!$H5/12,(SUMIF($D$2:$EE$2,O$2-1,$D5:$EE5)/12)*(1+XLOOKUP(O$2,Assumptions!$C$94:$M$94,Assumptions!$C$97:$M$97)))</f>
        <v>21419.937</v>
      </c>
      <c r="P5" s="54">
        <f t="array" ref="P5">IF(P$2=1,Assumptions!$H5/12,(SUMIF($D$2:$EE$2,P$2-1,$D5:$EE5)/12)*(1+XLOOKUP(P$2,Assumptions!$C$94:$M$94,Assumptions!$C$97:$M$97)))</f>
        <v>22062.53511</v>
      </c>
      <c r="Q5" s="54">
        <f t="array" ref="Q5">IF(Q$2=1,Assumptions!$H5/12,(SUMIF($D$2:$EE$2,Q$2-1,$D5:$EE5)/12)*(1+XLOOKUP(Q$2,Assumptions!$C$94:$M$94,Assumptions!$C$97:$M$97)))</f>
        <v>22062.53511</v>
      </c>
      <c r="R5" s="54">
        <f t="array" ref="R5">IF(R$2=1,Assumptions!$H5/12,(SUMIF($D$2:$EE$2,R$2-1,$D5:$EE5)/12)*(1+XLOOKUP(R$2,Assumptions!$C$94:$M$94,Assumptions!$C$97:$M$97)))</f>
        <v>22062.53511</v>
      </c>
      <c r="S5" s="54">
        <f t="array" ref="S5">IF(S$2=1,Assumptions!$H5/12,(SUMIF($D$2:$EE$2,S$2-1,$D5:$EE5)/12)*(1+XLOOKUP(S$2,Assumptions!$C$94:$M$94,Assumptions!$C$97:$M$97)))</f>
        <v>22062.53511</v>
      </c>
      <c r="T5" s="54">
        <f t="array" ref="T5">IF(T$2=1,Assumptions!$H5/12,(SUMIF($D$2:$EE$2,T$2-1,$D5:$EE5)/12)*(1+XLOOKUP(T$2,Assumptions!$C$94:$M$94,Assumptions!$C$97:$M$97)))</f>
        <v>22062.53511</v>
      </c>
      <c r="U5" s="54">
        <f t="array" ref="U5">IF(U$2=1,Assumptions!$H5/12,(SUMIF($D$2:$EE$2,U$2-1,$D5:$EE5)/12)*(1+XLOOKUP(U$2,Assumptions!$C$94:$M$94,Assumptions!$C$97:$M$97)))</f>
        <v>22062.53511</v>
      </c>
      <c r="V5" s="54">
        <f t="array" ref="V5">IF(V$2=1,Assumptions!$H5/12,(SUMIF($D$2:$EE$2,V$2-1,$D5:$EE5)/12)*(1+XLOOKUP(V$2,Assumptions!$C$94:$M$94,Assumptions!$C$97:$M$97)))</f>
        <v>22062.53511</v>
      </c>
      <c r="W5" s="54">
        <f t="array" ref="W5">IF(W$2=1,Assumptions!$H5/12,(SUMIF($D$2:$EE$2,W$2-1,$D5:$EE5)/12)*(1+XLOOKUP(W$2,Assumptions!$C$94:$M$94,Assumptions!$C$97:$M$97)))</f>
        <v>22062.53511</v>
      </c>
      <c r="X5" s="54">
        <f t="array" ref="X5">IF(X$2=1,Assumptions!$H5/12,(SUMIF($D$2:$EE$2,X$2-1,$D5:$EE5)/12)*(1+XLOOKUP(X$2,Assumptions!$C$94:$M$94,Assumptions!$C$97:$M$97)))</f>
        <v>22062.53511</v>
      </c>
      <c r="Y5" s="54">
        <f t="array" ref="Y5">IF(Y$2=1,Assumptions!$H5/12,(SUMIF($D$2:$EE$2,Y$2-1,$D5:$EE5)/12)*(1+XLOOKUP(Y$2,Assumptions!$C$94:$M$94,Assumptions!$C$97:$M$97)))</f>
        <v>22062.53511</v>
      </c>
      <c r="Z5" s="54">
        <f t="array" ref="Z5">IF(Z$2=1,Assumptions!$H5/12,(SUMIF($D$2:$EE$2,Z$2-1,$D5:$EE5)/12)*(1+XLOOKUP(Z$2,Assumptions!$C$94:$M$94,Assumptions!$C$97:$M$97)))</f>
        <v>22062.53511</v>
      </c>
      <c r="AA5" s="54">
        <f t="array" ref="AA5">IF(AA$2=1,Assumptions!$H5/12,(SUMIF($D$2:$EE$2,AA$2-1,$D5:$EE5)/12)*(1+XLOOKUP(AA$2,Assumptions!$C$94:$M$94,Assumptions!$C$97:$M$97)))</f>
        <v>22062.53511</v>
      </c>
      <c r="AB5" s="54">
        <f t="array" ref="AB5">IF(AB$2=1,Assumptions!$H5/12,(SUMIF($D$2:$EE$2,AB$2-1,$D5:$EE5)/12)*(1+XLOOKUP(AB$2,Assumptions!$C$94:$M$94,Assumptions!$C$97:$M$97)))</f>
        <v>22724.41116</v>
      </c>
      <c r="AC5" s="54">
        <f t="array" ref="AC5">IF(AC$2=1,Assumptions!$H5/12,(SUMIF($D$2:$EE$2,AC$2-1,$D5:$EE5)/12)*(1+XLOOKUP(AC$2,Assumptions!$C$94:$M$94,Assumptions!$C$97:$M$97)))</f>
        <v>22724.41116</v>
      </c>
      <c r="AD5" s="54">
        <f t="array" ref="AD5">IF(AD$2=1,Assumptions!$H5/12,(SUMIF($D$2:$EE$2,AD$2-1,$D5:$EE5)/12)*(1+XLOOKUP(AD$2,Assumptions!$C$94:$M$94,Assumptions!$C$97:$M$97)))</f>
        <v>22724.41116</v>
      </c>
      <c r="AE5" s="54">
        <f t="array" ref="AE5">IF(AE$2=1,Assumptions!$H5/12,(SUMIF($D$2:$EE$2,AE$2-1,$D5:$EE5)/12)*(1+XLOOKUP(AE$2,Assumptions!$C$94:$M$94,Assumptions!$C$97:$M$97)))</f>
        <v>22724.41116</v>
      </c>
      <c r="AF5" s="54">
        <f t="array" ref="AF5">IF(AF$2=1,Assumptions!$H5/12,(SUMIF($D$2:$EE$2,AF$2-1,$D5:$EE5)/12)*(1+XLOOKUP(AF$2,Assumptions!$C$94:$M$94,Assumptions!$C$97:$M$97)))</f>
        <v>22724.41116</v>
      </c>
      <c r="AG5" s="54">
        <f t="array" ref="AG5">IF(AG$2=1,Assumptions!$H5/12,(SUMIF($D$2:$EE$2,AG$2-1,$D5:$EE5)/12)*(1+XLOOKUP(AG$2,Assumptions!$C$94:$M$94,Assumptions!$C$97:$M$97)))</f>
        <v>22724.41116</v>
      </c>
      <c r="AH5" s="54">
        <f t="array" ref="AH5">IF(AH$2=1,Assumptions!$H5/12,(SUMIF($D$2:$EE$2,AH$2-1,$D5:$EE5)/12)*(1+XLOOKUP(AH$2,Assumptions!$C$94:$M$94,Assumptions!$C$97:$M$97)))</f>
        <v>22724.41116</v>
      </c>
      <c r="AI5" s="54">
        <f t="array" ref="AI5">IF(AI$2=1,Assumptions!$H5/12,(SUMIF($D$2:$EE$2,AI$2-1,$D5:$EE5)/12)*(1+XLOOKUP(AI$2,Assumptions!$C$94:$M$94,Assumptions!$C$97:$M$97)))</f>
        <v>22724.41116</v>
      </c>
      <c r="AJ5" s="54">
        <f t="array" ref="AJ5">IF(AJ$2=1,Assumptions!$H5/12,(SUMIF($D$2:$EE$2,AJ$2-1,$D5:$EE5)/12)*(1+XLOOKUP(AJ$2,Assumptions!$C$94:$M$94,Assumptions!$C$97:$M$97)))</f>
        <v>22724.41116</v>
      </c>
      <c r="AK5" s="54">
        <f t="array" ref="AK5">IF(AK$2=1,Assumptions!$H5/12,(SUMIF($D$2:$EE$2,AK$2-1,$D5:$EE5)/12)*(1+XLOOKUP(AK$2,Assumptions!$C$94:$M$94,Assumptions!$C$97:$M$97)))</f>
        <v>22724.41116</v>
      </c>
      <c r="AL5" s="54">
        <f t="array" ref="AL5">IF(AL$2=1,Assumptions!$H5/12,(SUMIF($D$2:$EE$2,AL$2-1,$D5:$EE5)/12)*(1+XLOOKUP(AL$2,Assumptions!$C$94:$M$94,Assumptions!$C$97:$M$97)))</f>
        <v>22724.41116</v>
      </c>
      <c r="AM5" s="54">
        <f t="array" ref="AM5">IF(AM$2=1,Assumptions!$H5/12,(SUMIF($D$2:$EE$2,AM$2-1,$D5:$EE5)/12)*(1+XLOOKUP(AM$2,Assumptions!$C$94:$M$94,Assumptions!$C$97:$M$97)))</f>
        <v>22724.41116</v>
      </c>
      <c r="AN5" s="54">
        <f t="array" ref="AN5">IF(AN$2=1,Assumptions!$H5/12,(SUMIF($D$2:$EE$2,AN$2-1,$D5:$EE5)/12)*(1+XLOOKUP(AN$2,Assumptions!$C$94:$M$94,Assumptions!$C$97:$M$97)))</f>
        <v>23406.1435</v>
      </c>
      <c r="AO5" s="54">
        <f t="array" ref="AO5">IF(AO$2=1,Assumptions!$H5/12,(SUMIF($D$2:$EE$2,AO$2-1,$D5:$EE5)/12)*(1+XLOOKUP(AO$2,Assumptions!$C$94:$M$94,Assumptions!$C$97:$M$97)))</f>
        <v>23406.1435</v>
      </c>
      <c r="AP5" s="54">
        <f t="array" ref="AP5">IF(AP$2=1,Assumptions!$H5/12,(SUMIF($D$2:$EE$2,AP$2-1,$D5:$EE5)/12)*(1+XLOOKUP(AP$2,Assumptions!$C$94:$M$94,Assumptions!$C$97:$M$97)))</f>
        <v>23406.1435</v>
      </c>
      <c r="AQ5" s="54">
        <f t="array" ref="AQ5">IF(AQ$2=1,Assumptions!$H5/12,(SUMIF($D$2:$EE$2,AQ$2-1,$D5:$EE5)/12)*(1+XLOOKUP(AQ$2,Assumptions!$C$94:$M$94,Assumptions!$C$97:$M$97)))</f>
        <v>23406.1435</v>
      </c>
      <c r="AR5" s="54">
        <f t="array" ref="AR5">IF(AR$2=1,Assumptions!$H5/12,(SUMIF($D$2:$EE$2,AR$2-1,$D5:$EE5)/12)*(1+XLOOKUP(AR$2,Assumptions!$C$94:$M$94,Assumptions!$C$97:$M$97)))</f>
        <v>23406.1435</v>
      </c>
      <c r="AS5" s="54">
        <f t="array" ref="AS5">IF(AS$2=1,Assumptions!$H5/12,(SUMIF($D$2:$EE$2,AS$2-1,$D5:$EE5)/12)*(1+XLOOKUP(AS$2,Assumptions!$C$94:$M$94,Assumptions!$C$97:$M$97)))</f>
        <v>23406.1435</v>
      </c>
      <c r="AT5" s="54">
        <f t="array" ref="AT5">IF(AT$2=1,Assumptions!$H5/12,(SUMIF($D$2:$EE$2,AT$2-1,$D5:$EE5)/12)*(1+XLOOKUP(AT$2,Assumptions!$C$94:$M$94,Assumptions!$C$97:$M$97)))</f>
        <v>23406.1435</v>
      </c>
      <c r="AU5" s="54">
        <f t="array" ref="AU5">IF(AU$2=1,Assumptions!$H5/12,(SUMIF($D$2:$EE$2,AU$2-1,$D5:$EE5)/12)*(1+XLOOKUP(AU$2,Assumptions!$C$94:$M$94,Assumptions!$C$97:$M$97)))</f>
        <v>23406.1435</v>
      </c>
      <c r="AV5" s="54">
        <f t="array" ref="AV5">IF(AV$2=1,Assumptions!$H5/12,(SUMIF($D$2:$EE$2,AV$2-1,$D5:$EE5)/12)*(1+XLOOKUP(AV$2,Assumptions!$C$94:$M$94,Assumptions!$C$97:$M$97)))</f>
        <v>23406.1435</v>
      </c>
      <c r="AW5" s="54">
        <f t="array" ref="AW5">IF(AW$2=1,Assumptions!$H5/12,(SUMIF($D$2:$EE$2,AW$2-1,$D5:$EE5)/12)*(1+XLOOKUP(AW$2,Assumptions!$C$94:$M$94,Assumptions!$C$97:$M$97)))</f>
        <v>23406.1435</v>
      </c>
      <c r="AX5" s="54">
        <f t="array" ref="AX5">IF(AX$2=1,Assumptions!$H5/12,(SUMIF($D$2:$EE$2,AX$2-1,$D5:$EE5)/12)*(1+XLOOKUP(AX$2,Assumptions!$C$94:$M$94,Assumptions!$C$97:$M$97)))</f>
        <v>23406.1435</v>
      </c>
      <c r="AY5" s="54">
        <f t="array" ref="AY5">IF(AY$2=1,Assumptions!$H5/12,(SUMIF($D$2:$EE$2,AY$2-1,$D5:$EE5)/12)*(1+XLOOKUP(AY$2,Assumptions!$C$94:$M$94,Assumptions!$C$97:$M$97)))</f>
        <v>23406.1435</v>
      </c>
      <c r="AZ5" s="54">
        <f t="array" ref="AZ5">IF(AZ$2=1,Assumptions!$H5/12,(SUMIF($D$2:$EE$2,AZ$2-1,$D5:$EE5)/12)*(1+XLOOKUP(AZ$2,Assumptions!$C$94:$M$94,Assumptions!$C$97:$M$97)))</f>
        <v>24108.3278</v>
      </c>
      <c r="BA5" s="54">
        <f t="array" ref="BA5">IF(BA$2=1,Assumptions!$H5/12,(SUMIF($D$2:$EE$2,BA$2-1,$D5:$EE5)/12)*(1+XLOOKUP(BA$2,Assumptions!$C$94:$M$94,Assumptions!$C$97:$M$97)))</f>
        <v>24108.3278</v>
      </c>
      <c r="BB5" s="54">
        <f t="array" ref="BB5">IF(BB$2=1,Assumptions!$H5/12,(SUMIF($D$2:$EE$2,BB$2-1,$D5:$EE5)/12)*(1+XLOOKUP(BB$2,Assumptions!$C$94:$M$94,Assumptions!$C$97:$M$97)))</f>
        <v>24108.3278</v>
      </c>
      <c r="BC5" s="54">
        <f t="array" ref="BC5">IF(BC$2=1,Assumptions!$H5/12,(SUMIF($D$2:$EE$2,BC$2-1,$D5:$EE5)/12)*(1+XLOOKUP(BC$2,Assumptions!$C$94:$M$94,Assumptions!$C$97:$M$97)))</f>
        <v>24108.3278</v>
      </c>
      <c r="BD5" s="54">
        <f t="array" ref="BD5">IF(BD$2=1,Assumptions!$H5/12,(SUMIF($D$2:$EE$2,BD$2-1,$D5:$EE5)/12)*(1+XLOOKUP(BD$2,Assumptions!$C$94:$M$94,Assumptions!$C$97:$M$97)))</f>
        <v>24108.3278</v>
      </c>
      <c r="BE5" s="54">
        <f t="array" ref="BE5">IF(BE$2=1,Assumptions!$H5/12,(SUMIF($D$2:$EE$2,BE$2-1,$D5:$EE5)/12)*(1+XLOOKUP(BE$2,Assumptions!$C$94:$M$94,Assumptions!$C$97:$M$97)))</f>
        <v>24108.3278</v>
      </c>
      <c r="BF5" s="54">
        <f t="array" ref="BF5">IF(BF$2=1,Assumptions!$H5/12,(SUMIF($D$2:$EE$2,BF$2-1,$D5:$EE5)/12)*(1+XLOOKUP(BF$2,Assumptions!$C$94:$M$94,Assumptions!$C$97:$M$97)))</f>
        <v>24108.3278</v>
      </c>
      <c r="BG5" s="54">
        <f t="array" ref="BG5">IF(BG$2=1,Assumptions!$H5/12,(SUMIF($D$2:$EE$2,BG$2-1,$D5:$EE5)/12)*(1+XLOOKUP(BG$2,Assumptions!$C$94:$M$94,Assumptions!$C$97:$M$97)))</f>
        <v>24108.3278</v>
      </c>
      <c r="BH5" s="54">
        <f t="array" ref="BH5">IF(BH$2=1,Assumptions!$H5/12,(SUMIF($D$2:$EE$2,BH$2-1,$D5:$EE5)/12)*(1+XLOOKUP(BH$2,Assumptions!$C$94:$M$94,Assumptions!$C$97:$M$97)))</f>
        <v>24108.3278</v>
      </c>
      <c r="BI5" s="54">
        <f t="array" ref="BI5">IF(BI$2=1,Assumptions!$H5/12,(SUMIF($D$2:$EE$2,BI$2-1,$D5:$EE5)/12)*(1+XLOOKUP(BI$2,Assumptions!$C$94:$M$94,Assumptions!$C$97:$M$97)))</f>
        <v>24108.3278</v>
      </c>
      <c r="BJ5" s="54">
        <f t="array" ref="BJ5">IF(BJ$2=1,Assumptions!$H5/12,(SUMIF($D$2:$EE$2,BJ$2-1,$D5:$EE5)/12)*(1+XLOOKUP(BJ$2,Assumptions!$C$94:$M$94,Assumptions!$C$97:$M$97)))</f>
        <v>24108.3278</v>
      </c>
      <c r="BK5" s="54">
        <f t="array" ref="BK5">IF(BK$2=1,Assumptions!$H5/12,(SUMIF($D$2:$EE$2,BK$2-1,$D5:$EE5)/12)*(1+XLOOKUP(BK$2,Assumptions!$C$94:$M$94,Assumptions!$C$97:$M$97)))</f>
        <v>24108.3278</v>
      </c>
      <c r="BL5" s="54">
        <f t="array" ref="BL5">IF(BL$2=1,Assumptions!$H5/12,(SUMIF($D$2:$EE$2,BL$2-1,$D5:$EE5)/12)*(1+XLOOKUP(BL$2,Assumptions!$C$94:$M$94,Assumptions!$C$97:$M$97)))</f>
        <v>24831.57764</v>
      </c>
      <c r="BM5" s="54">
        <f t="array" ref="BM5">IF(BM$2=1,Assumptions!$H5/12,(SUMIF($D$2:$EE$2,BM$2-1,$D5:$EE5)/12)*(1+XLOOKUP(BM$2,Assumptions!$C$94:$M$94,Assumptions!$C$97:$M$97)))</f>
        <v>24831.57764</v>
      </c>
      <c r="BN5" s="54">
        <f t="array" ref="BN5">IF(BN$2=1,Assumptions!$H5/12,(SUMIF($D$2:$EE$2,BN$2-1,$D5:$EE5)/12)*(1+XLOOKUP(BN$2,Assumptions!$C$94:$M$94,Assumptions!$C$97:$M$97)))</f>
        <v>24831.57764</v>
      </c>
      <c r="BO5" s="54">
        <f t="array" ref="BO5">IF(BO$2=1,Assumptions!$H5/12,(SUMIF($D$2:$EE$2,BO$2-1,$D5:$EE5)/12)*(1+XLOOKUP(BO$2,Assumptions!$C$94:$M$94,Assumptions!$C$97:$M$97)))</f>
        <v>24831.57764</v>
      </c>
      <c r="BP5" s="54">
        <f t="array" ref="BP5">IF(BP$2=1,Assumptions!$H5/12,(SUMIF($D$2:$EE$2,BP$2-1,$D5:$EE5)/12)*(1+XLOOKUP(BP$2,Assumptions!$C$94:$M$94,Assumptions!$C$97:$M$97)))</f>
        <v>24831.57764</v>
      </c>
      <c r="BQ5" s="54">
        <f t="array" ref="BQ5">IF(BQ$2=1,Assumptions!$H5/12,(SUMIF($D$2:$EE$2,BQ$2-1,$D5:$EE5)/12)*(1+XLOOKUP(BQ$2,Assumptions!$C$94:$M$94,Assumptions!$C$97:$M$97)))</f>
        <v>24831.57764</v>
      </c>
      <c r="BR5" s="54">
        <f t="array" ref="BR5">IF(BR$2=1,Assumptions!$H5/12,(SUMIF($D$2:$EE$2,BR$2-1,$D5:$EE5)/12)*(1+XLOOKUP(BR$2,Assumptions!$C$94:$M$94,Assumptions!$C$97:$M$97)))</f>
        <v>24831.57764</v>
      </c>
      <c r="BS5" s="54">
        <f t="array" ref="BS5">IF(BS$2=1,Assumptions!$H5/12,(SUMIF($D$2:$EE$2,BS$2-1,$D5:$EE5)/12)*(1+XLOOKUP(BS$2,Assumptions!$C$94:$M$94,Assumptions!$C$97:$M$97)))</f>
        <v>24831.57764</v>
      </c>
      <c r="BT5" s="54">
        <f t="array" ref="BT5">IF(BT$2=1,Assumptions!$H5/12,(SUMIF($D$2:$EE$2,BT$2-1,$D5:$EE5)/12)*(1+XLOOKUP(BT$2,Assumptions!$C$94:$M$94,Assumptions!$C$97:$M$97)))</f>
        <v>24831.57764</v>
      </c>
      <c r="BU5" s="54">
        <f t="array" ref="BU5">IF(BU$2=1,Assumptions!$H5/12,(SUMIF($D$2:$EE$2,BU$2-1,$D5:$EE5)/12)*(1+XLOOKUP(BU$2,Assumptions!$C$94:$M$94,Assumptions!$C$97:$M$97)))</f>
        <v>24831.57764</v>
      </c>
      <c r="BV5" s="54">
        <f t="array" ref="BV5">IF(BV$2=1,Assumptions!$H5/12,(SUMIF($D$2:$EE$2,BV$2-1,$D5:$EE5)/12)*(1+XLOOKUP(BV$2,Assumptions!$C$94:$M$94,Assumptions!$C$97:$M$97)))</f>
        <v>24831.57764</v>
      </c>
      <c r="BW5" s="54">
        <f t="array" ref="BW5">IF(BW$2=1,Assumptions!$H5/12,(SUMIF($D$2:$EE$2,BW$2-1,$D5:$EE5)/12)*(1+XLOOKUP(BW$2,Assumptions!$C$94:$M$94,Assumptions!$C$97:$M$97)))</f>
        <v>24831.57764</v>
      </c>
      <c r="BX5" s="54">
        <f t="array" ref="BX5">IF(BX$2=1,Assumptions!$H5/12,(SUMIF($D$2:$EE$2,BX$2-1,$D5:$EE5)/12)*(1+XLOOKUP(BX$2,Assumptions!$C$94:$M$94,Assumptions!$C$97:$M$97)))</f>
        <v>25576.52497</v>
      </c>
      <c r="BY5" s="54">
        <f t="array" ref="BY5">IF(BY$2=1,Assumptions!$H5/12,(SUMIF($D$2:$EE$2,BY$2-1,$D5:$EE5)/12)*(1+XLOOKUP(BY$2,Assumptions!$C$94:$M$94,Assumptions!$C$97:$M$97)))</f>
        <v>25576.52497</v>
      </c>
      <c r="BZ5" s="54">
        <f t="array" ref="BZ5">IF(BZ$2=1,Assumptions!$H5/12,(SUMIF($D$2:$EE$2,BZ$2-1,$D5:$EE5)/12)*(1+XLOOKUP(BZ$2,Assumptions!$C$94:$M$94,Assumptions!$C$97:$M$97)))</f>
        <v>25576.52497</v>
      </c>
      <c r="CA5" s="54">
        <f t="array" ref="CA5">IF(CA$2=1,Assumptions!$H5/12,(SUMIF($D$2:$EE$2,CA$2-1,$D5:$EE5)/12)*(1+XLOOKUP(CA$2,Assumptions!$C$94:$M$94,Assumptions!$C$97:$M$97)))</f>
        <v>25576.52497</v>
      </c>
      <c r="CB5" s="54">
        <f t="array" ref="CB5">IF(CB$2=1,Assumptions!$H5/12,(SUMIF($D$2:$EE$2,CB$2-1,$D5:$EE5)/12)*(1+XLOOKUP(CB$2,Assumptions!$C$94:$M$94,Assumptions!$C$97:$M$97)))</f>
        <v>25576.52497</v>
      </c>
      <c r="CC5" s="54">
        <f t="array" ref="CC5">IF(CC$2=1,Assumptions!$H5/12,(SUMIF($D$2:$EE$2,CC$2-1,$D5:$EE5)/12)*(1+XLOOKUP(CC$2,Assumptions!$C$94:$M$94,Assumptions!$C$97:$M$97)))</f>
        <v>25576.52497</v>
      </c>
      <c r="CD5" s="54">
        <f t="array" ref="CD5">IF(CD$2=1,Assumptions!$H5/12,(SUMIF($D$2:$EE$2,CD$2-1,$D5:$EE5)/12)*(1+XLOOKUP(CD$2,Assumptions!$C$94:$M$94,Assumptions!$C$97:$M$97)))</f>
        <v>25576.52497</v>
      </c>
      <c r="CE5" s="54">
        <f t="array" ref="CE5">IF(CE$2=1,Assumptions!$H5/12,(SUMIF($D$2:$EE$2,CE$2-1,$D5:$EE5)/12)*(1+XLOOKUP(CE$2,Assumptions!$C$94:$M$94,Assumptions!$C$97:$M$97)))</f>
        <v>25576.52497</v>
      </c>
      <c r="CF5" s="54">
        <f t="array" ref="CF5">IF(CF$2=1,Assumptions!$H5/12,(SUMIF($D$2:$EE$2,CF$2-1,$D5:$EE5)/12)*(1+XLOOKUP(CF$2,Assumptions!$C$94:$M$94,Assumptions!$C$97:$M$97)))</f>
        <v>25576.52497</v>
      </c>
      <c r="CG5" s="54">
        <f t="array" ref="CG5">IF(CG$2=1,Assumptions!$H5/12,(SUMIF($D$2:$EE$2,CG$2-1,$D5:$EE5)/12)*(1+XLOOKUP(CG$2,Assumptions!$C$94:$M$94,Assumptions!$C$97:$M$97)))</f>
        <v>25576.52497</v>
      </c>
      <c r="CH5" s="54">
        <f t="array" ref="CH5">IF(CH$2=1,Assumptions!$H5/12,(SUMIF($D$2:$EE$2,CH$2-1,$D5:$EE5)/12)*(1+XLOOKUP(CH$2,Assumptions!$C$94:$M$94,Assumptions!$C$97:$M$97)))</f>
        <v>25576.52497</v>
      </c>
      <c r="CI5" s="54">
        <f t="array" ref="CI5">IF(CI$2=1,Assumptions!$H5/12,(SUMIF($D$2:$EE$2,CI$2-1,$D5:$EE5)/12)*(1+XLOOKUP(CI$2,Assumptions!$C$94:$M$94,Assumptions!$C$97:$M$97)))</f>
        <v>25576.52497</v>
      </c>
      <c r="CJ5" s="54">
        <f t="array" ref="CJ5">IF(CJ$2=1,Assumptions!$H5/12,(SUMIF($D$2:$EE$2,CJ$2-1,$D5:$EE5)/12)*(1+XLOOKUP(CJ$2,Assumptions!$C$94:$M$94,Assumptions!$C$97:$M$97)))</f>
        <v>26343.82072</v>
      </c>
      <c r="CK5" s="54">
        <f t="array" ref="CK5">IF(CK$2=1,Assumptions!$H5/12,(SUMIF($D$2:$EE$2,CK$2-1,$D5:$EE5)/12)*(1+XLOOKUP(CK$2,Assumptions!$C$94:$M$94,Assumptions!$C$97:$M$97)))</f>
        <v>26343.82072</v>
      </c>
      <c r="CL5" s="54">
        <f t="array" ref="CL5">IF(CL$2=1,Assumptions!$H5/12,(SUMIF($D$2:$EE$2,CL$2-1,$D5:$EE5)/12)*(1+XLOOKUP(CL$2,Assumptions!$C$94:$M$94,Assumptions!$C$97:$M$97)))</f>
        <v>26343.82072</v>
      </c>
      <c r="CM5" s="54">
        <f t="array" ref="CM5">IF(CM$2=1,Assumptions!$H5/12,(SUMIF($D$2:$EE$2,CM$2-1,$D5:$EE5)/12)*(1+XLOOKUP(CM$2,Assumptions!$C$94:$M$94,Assumptions!$C$97:$M$97)))</f>
        <v>26343.82072</v>
      </c>
      <c r="CN5" s="54">
        <f t="array" ref="CN5">IF(CN$2=1,Assumptions!$H5/12,(SUMIF($D$2:$EE$2,CN$2-1,$D5:$EE5)/12)*(1+XLOOKUP(CN$2,Assumptions!$C$94:$M$94,Assumptions!$C$97:$M$97)))</f>
        <v>26343.82072</v>
      </c>
      <c r="CO5" s="54">
        <f t="array" ref="CO5">IF(CO$2=1,Assumptions!$H5/12,(SUMIF($D$2:$EE$2,CO$2-1,$D5:$EE5)/12)*(1+XLOOKUP(CO$2,Assumptions!$C$94:$M$94,Assumptions!$C$97:$M$97)))</f>
        <v>26343.82072</v>
      </c>
      <c r="CP5" s="54">
        <f t="array" ref="CP5">IF(CP$2=1,Assumptions!$H5/12,(SUMIF($D$2:$EE$2,CP$2-1,$D5:$EE5)/12)*(1+XLOOKUP(CP$2,Assumptions!$C$94:$M$94,Assumptions!$C$97:$M$97)))</f>
        <v>26343.82072</v>
      </c>
      <c r="CQ5" s="54">
        <f t="array" ref="CQ5">IF(CQ$2=1,Assumptions!$H5/12,(SUMIF($D$2:$EE$2,CQ$2-1,$D5:$EE5)/12)*(1+XLOOKUP(CQ$2,Assumptions!$C$94:$M$94,Assumptions!$C$97:$M$97)))</f>
        <v>26343.82072</v>
      </c>
      <c r="CR5" s="54">
        <f t="array" ref="CR5">IF(CR$2=1,Assumptions!$H5/12,(SUMIF($D$2:$EE$2,CR$2-1,$D5:$EE5)/12)*(1+XLOOKUP(CR$2,Assumptions!$C$94:$M$94,Assumptions!$C$97:$M$97)))</f>
        <v>26343.82072</v>
      </c>
      <c r="CS5" s="54">
        <f t="array" ref="CS5">IF(CS$2=1,Assumptions!$H5/12,(SUMIF($D$2:$EE$2,CS$2-1,$D5:$EE5)/12)*(1+XLOOKUP(CS$2,Assumptions!$C$94:$M$94,Assumptions!$C$97:$M$97)))</f>
        <v>26343.82072</v>
      </c>
      <c r="CT5" s="54">
        <f t="array" ref="CT5">IF(CT$2=1,Assumptions!$H5/12,(SUMIF($D$2:$EE$2,CT$2-1,$D5:$EE5)/12)*(1+XLOOKUP(CT$2,Assumptions!$C$94:$M$94,Assumptions!$C$97:$M$97)))</f>
        <v>26343.82072</v>
      </c>
      <c r="CU5" s="54">
        <f t="array" ref="CU5">IF(CU$2=1,Assumptions!$H5/12,(SUMIF($D$2:$EE$2,CU$2-1,$D5:$EE5)/12)*(1+XLOOKUP(CU$2,Assumptions!$C$94:$M$94,Assumptions!$C$97:$M$97)))</f>
        <v>26343.82072</v>
      </c>
      <c r="CV5" s="54">
        <f t="array" ref="CV5">IF(CV$2=1,Assumptions!$H5/12,(SUMIF($D$2:$EE$2,CV$2-1,$D5:$EE5)/12)*(1+XLOOKUP(CV$2,Assumptions!$C$94:$M$94,Assumptions!$C$97:$M$97)))</f>
        <v>27134.13534</v>
      </c>
      <c r="CW5" s="54">
        <f t="array" ref="CW5">IF(CW$2=1,Assumptions!$H5/12,(SUMIF($D$2:$EE$2,CW$2-1,$D5:$EE5)/12)*(1+XLOOKUP(CW$2,Assumptions!$C$94:$M$94,Assumptions!$C$97:$M$97)))</f>
        <v>27134.13534</v>
      </c>
      <c r="CX5" s="54">
        <f t="array" ref="CX5">IF(CX$2=1,Assumptions!$H5/12,(SUMIF($D$2:$EE$2,CX$2-1,$D5:$EE5)/12)*(1+XLOOKUP(CX$2,Assumptions!$C$94:$M$94,Assumptions!$C$97:$M$97)))</f>
        <v>27134.13534</v>
      </c>
      <c r="CY5" s="54">
        <f t="array" ref="CY5">IF(CY$2=1,Assumptions!$H5/12,(SUMIF($D$2:$EE$2,CY$2-1,$D5:$EE5)/12)*(1+XLOOKUP(CY$2,Assumptions!$C$94:$M$94,Assumptions!$C$97:$M$97)))</f>
        <v>27134.13534</v>
      </c>
      <c r="CZ5" s="54">
        <f t="array" ref="CZ5">IF(CZ$2=1,Assumptions!$H5/12,(SUMIF($D$2:$EE$2,CZ$2-1,$D5:$EE5)/12)*(1+XLOOKUP(CZ$2,Assumptions!$C$94:$M$94,Assumptions!$C$97:$M$97)))</f>
        <v>27134.13534</v>
      </c>
      <c r="DA5" s="54">
        <f t="array" ref="DA5">IF(DA$2=1,Assumptions!$H5/12,(SUMIF($D$2:$EE$2,DA$2-1,$D5:$EE5)/12)*(1+XLOOKUP(DA$2,Assumptions!$C$94:$M$94,Assumptions!$C$97:$M$97)))</f>
        <v>27134.13534</v>
      </c>
      <c r="DB5" s="54">
        <f t="array" ref="DB5">IF(DB$2=1,Assumptions!$H5/12,(SUMIF($D$2:$EE$2,DB$2-1,$D5:$EE5)/12)*(1+XLOOKUP(DB$2,Assumptions!$C$94:$M$94,Assumptions!$C$97:$M$97)))</f>
        <v>27134.13534</v>
      </c>
      <c r="DC5" s="54">
        <f t="array" ref="DC5">IF(DC$2=1,Assumptions!$H5/12,(SUMIF($D$2:$EE$2,DC$2-1,$D5:$EE5)/12)*(1+XLOOKUP(DC$2,Assumptions!$C$94:$M$94,Assumptions!$C$97:$M$97)))</f>
        <v>27134.13534</v>
      </c>
      <c r="DD5" s="54">
        <f t="array" ref="DD5">IF(DD$2=1,Assumptions!$H5/12,(SUMIF($D$2:$EE$2,DD$2-1,$D5:$EE5)/12)*(1+XLOOKUP(DD$2,Assumptions!$C$94:$M$94,Assumptions!$C$97:$M$97)))</f>
        <v>27134.13534</v>
      </c>
      <c r="DE5" s="54">
        <f t="array" ref="DE5">IF(DE$2=1,Assumptions!$H5/12,(SUMIF($D$2:$EE$2,DE$2-1,$D5:$EE5)/12)*(1+XLOOKUP(DE$2,Assumptions!$C$94:$M$94,Assumptions!$C$97:$M$97)))</f>
        <v>27134.13534</v>
      </c>
      <c r="DF5" s="54">
        <f t="array" ref="DF5">IF(DF$2=1,Assumptions!$H5/12,(SUMIF($D$2:$EE$2,DF$2-1,$D5:$EE5)/12)*(1+XLOOKUP(DF$2,Assumptions!$C$94:$M$94,Assumptions!$C$97:$M$97)))</f>
        <v>27134.13534</v>
      </c>
      <c r="DG5" s="54">
        <f t="array" ref="DG5">IF(DG$2=1,Assumptions!$H5/12,(SUMIF($D$2:$EE$2,DG$2-1,$D5:$EE5)/12)*(1+XLOOKUP(DG$2,Assumptions!$C$94:$M$94,Assumptions!$C$97:$M$97)))</f>
        <v>27134.13534</v>
      </c>
      <c r="DH5" s="54">
        <f t="array" ref="DH5">IF(DH$2=1,Assumptions!$H5/12,(SUMIF($D$2:$EE$2,DH$2-1,$D5:$EE5)/12)*(1+XLOOKUP(DH$2,Assumptions!$C$94:$M$94,Assumptions!$C$97:$M$97)))</f>
        <v>27948.1594</v>
      </c>
      <c r="DI5" s="54">
        <f t="array" ref="DI5">IF(DI$2=1,Assumptions!$H5/12,(SUMIF($D$2:$EE$2,DI$2-1,$D5:$EE5)/12)*(1+XLOOKUP(DI$2,Assumptions!$C$94:$M$94,Assumptions!$C$97:$M$97)))</f>
        <v>27948.1594</v>
      </c>
      <c r="DJ5" s="54">
        <f t="array" ref="DJ5">IF(DJ$2=1,Assumptions!$H5/12,(SUMIF($D$2:$EE$2,DJ$2-1,$D5:$EE5)/12)*(1+XLOOKUP(DJ$2,Assumptions!$C$94:$M$94,Assumptions!$C$97:$M$97)))</f>
        <v>27948.1594</v>
      </c>
      <c r="DK5" s="54">
        <f t="array" ref="DK5">IF(DK$2=1,Assumptions!$H5/12,(SUMIF($D$2:$EE$2,DK$2-1,$D5:$EE5)/12)*(1+XLOOKUP(DK$2,Assumptions!$C$94:$M$94,Assumptions!$C$97:$M$97)))</f>
        <v>27948.1594</v>
      </c>
      <c r="DL5" s="54">
        <f t="array" ref="DL5">IF(DL$2=1,Assumptions!$H5/12,(SUMIF($D$2:$EE$2,DL$2-1,$D5:$EE5)/12)*(1+XLOOKUP(DL$2,Assumptions!$C$94:$M$94,Assumptions!$C$97:$M$97)))</f>
        <v>27948.1594</v>
      </c>
      <c r="DM5" s="54">
        <f t="array" ref="DM5">IF(DM$2=1,Assumptions!$H5/12,(SUMIF($D$2:$EE$2,DM$2-1,$D5:$EE5)/12)*(1+XLOOKUP(DM$2,Assumptions!$C$94:$M$94,Assumptions!$C$97:$M$97)))</f>
        <v>27948.1594</v>
      </c>
      <c r="DN5" s="54">
        <f t="array" ref="DN5">IF(DN$2=1,Assumptions!$H5/12,(SUMIF($D$2:$EE$2,DN$2-1,$D5:$EE5)/12)*(1+XLOOKUP(DN$2,Assumptions!$C$94:$M$94,Assumptions!$C$97:$M$97)))</f>
        <v>27948.1594</v>
      </c>
      <c r="DO5" s="54">
        <f t="array" ref="DO5">IF(DO$2=1,Assumptions!$H5/12,(SUMIF($D$2:$EE$2,DO$2-1,$D5:$EE5)/12)*(1+XLOOKUP(DO$2,Assumptions!$C$94:$M$94,Assumptions!$C$97:$M$97)))</f>
        <v>27948.1594</v>
      </c>
      <c r="DP5" s="54">
        <f t="array" ref="DP5">IF(DP$2=1,Assumptions!$H5/12,(SUMIF($D$2:$EE$2,DP$2-1,$D5:$EE5)/12)*(1+XLOOKUP(DP$2,Assumptions!$C$94:$M$94,Assumptions!$C$97:$M$97)))</f>
        <v>27948.1594</v>
      </c>
      <c r="DQ5" s="54">
        <f t="array" ref="DQ5">IF(DQ$2=1,Assumptions!$H5/12,(SUMIF($D$2:$EE$2,DQ$2-1,$D5:$EE5)/12)*(1+XLOOKUP(DQ$2,Assumptions!$C$94:$M$94,Assumptions!$C$97:$M$97)))</f>
        <v>27948.1594</v>
      </c>
      <c r="DR5" s="54">
        <f t="array" ref="DR5">IF(DR$2=1,Assumptions!$H5/12,(SUMIF($D$2:$EE$2,DR$2-1,$D5:$EE5)/12)*(1+XLOOKUP(DR$2,Assumptions!$C$94:$M$94,Assumptions!$C$97:$M$97)))</f>
        <v>27948.1594</v>
      </c>
      <c r="DS5" s="54">
        <f t="array" ref="DS5">IF(DS$2=1,Assumptions!$H5/12,(SUMIF($D$2:$EE$2,DS$2-1,$D5:$EE5)/12)*(1+XLOOKUP(DS$2,Assumptions!$C$94:$M$94,Assumptions!$C$97:$M$97)))</f>
        <v>27948.1594</v>
      </c>
      <c r="DT5" s="54">
        <f t="array" ref="DT5">IF(DT$2=1,Assumptions!$H5/12,(SUMIF($D$2:$EE$2,DT$2-1,$D5:$EE5)/12)*(1+XLOOKUP(DT$2,Assumptions!$C$94:$M$94,Assumptions!$C$97:$M$97)))</f>
        <v>28786.60418</v>
      </c>
      <c r="DU5" s="54">
        <f t="array" ref="DU5">IF(DU$2=1,Assumptions!$H5/12,(SUMIF($D$2:$EE$2,DU$2-1,$D5:$EE5)/12)*(1+XLOOKUP(DU$2,Assumptions!$C$94:$M$94,Assumptions!$C$97:$M$97)))</f>
        <v>28786.60418</v>
      </c>
      <c r="DV5" s="54">
        <f t="array" ref="DV5">IF(DV$2=1,Assumptions!$H5/12,(SUMIF($D$2:$EE$2,DV$2-1,$D5:$EE5)/12)*(1+XLOOKUP(DV$2,Assumptions!$C$94:$M$94,Assumptions!$C$97:$M$97)))</f>
        <v>28786.60418</v>
      </c>
      <c r="DW5" s="54">
        <f t="array" ref="DW5">IF(DW$2=1,Assumptions!$H5/12,(SUMIF($D$2:$EE$2,DW$2-1,$D5:$EE5)/12)*(1+XLOOKUP(DW$2,Assumptions!$C$94:$M$94,Assumptions!$C$97:$M$97)))</f>
        <v>28786.60418</v>
      </c>
      <c r="DX5" s="54">
        <f t="array" ref="DX5">IF(DX$2=1,Assumptions!$H5/12,(SUMIF($D$2:$EE$2,DX$2-1,$D5:$EE5)/12)*(1+XLOOKUP(DX$2,Assumptions!$C$94:$M$94,Assumptions!$C$97:$M$97)))</f>
        <v>28786.60418</v>
      </c>
      <c r="DY5" s="54">
        <f t="array" ref="DY5">IF(DY$2=1,Assumptions!$H5/12,(SUMIF($D$2:$EE$2,DY$2-1,$D5:$EE5)/12)*(1+XLOOKUP(DY$2,Assumptions!$C$94:$M$94,Assumptions!$C$97:$M$97)))</f>
        <v>28786.60418</v>
      </c>
      <c r="DZ5" s="54">
        <f t="array" ref="DZ5">IF(DZ$2=1,Assumptions!$H5/12,(SUMIF($D$2:$EE$2,DZ$2-1,$D5:$EE5)/12)*(1+XLOOKUP(DZ$2,Assumptions!$C$94:$M$94,Assumptions!$C$97:$M$97)))</f>
        <v>28786.60418</v>
      </c>
      <c r="EA5" s="54">
        <f t="array" ref="EA5">IF(EA$2=1,Assumptions!$H5/12,(SUMIF($D$2:$EE$2,EA$2-1,$D5:$EE5)/12)*(1+XLOOKUP(EA$2,Assumptions!$C$94:$M$94,Assumptions!$C$97:$M$97)))</f>
        <v>28786.60418</v>
      </c>
      <c r="EB5" s="54">
        <f t="array" ref="EB5">IF(EB$2=1,Assumptions!$H5/12,(SUMIF($D$2:$EE$2,EB$2-1,$D5:$EE5)/12)*(1+XLOOKUP(EB$2,Assumptions!$C$94:$M$94,Assumptions!$C$97:$M$97)))</f>
        <v>28786.60418</v>
      </c>
      <c r="EC5" s="54">
        <f t="array" ref="EC5">IF(EC$2=1,Assumptions!$H5/12,(SUMIF($D$2:$EE$2,EC$2-1,$D5:$EE5)/12)*(1+XLOOKUP(EC$2,Assumptions!$C$94:$M$94,Assumptions!$C$97:$M$97)))</f>
        <v>28786.60418</v>
      </c>
      <c r="ED5" s="54">
        <f t="array" ref="ED5">IF(ED$2=1,Assumptions!$H5/12,(SUMIF($D$2:$EE$2,ED$2-1,$D5:$EE5)/12)*(1+XLOOKUP(ED$2,Assumptions!$C$94:$M$94,Assumptions!$C$97:$M$97)))</f>
        <v>28786.60418</v>
      </c>
      <c r="EE5" s="54">
        <f t="array" ref="EE5">IF(EE$2=1,Assumptions!$H5/12,(SUMIF($D$2:$EE$2,EE$2-1,$D5:$EE5)/12)*(1+XLOOKUP(EE$2,Assumptions!$C$94:$M$94,Assumptions!$C$97:$M$97)))</f>
        <v>28786.60418</v>
      </c>
    </row>
    <row r="6" ht="15.75" customHeight="1">
      <c r="A6" s="1"/>
      <c r="B6" s="1"/>
      <c r="C6" s="1" t="str">
        <f>Assumptions!B6</f>
        <v>3x3</v>
      </c>
      <c r="D6" s="54">
        <f t="array" ref="D6">IF(D$2=1,Assumptions!$H6/12,(SUMIF($D$2:$EE$2,D$2-1,$D6:$EE6)/12)*(1+XLOOKUP(D$2,Assumptions!$C$94:$M$94,Assumptions!$C$97:$M$97)))</f>
        <v>12439.35</v>
      </c>
      <c r="E6" s="54">
        <f t="array" ref="E6">IF(E$2=1,Assumptions!$H6/12,(SUMIF($D$2:$EE$2,E$2-1,$D6:$EE6)/12)*(1+XLOOKUP(E$2,Assumptions!$C$94:$M$94,Assumptions!$C$97:$M$97)))</f>
        <v>12439.35</v>
      </c>
      <c r="F6" s="54">
        <f t="array" ref="F6">IF(F$2=1,Assumptions!$H6/12,(SUMIF($D$2:$EE$2,F$2-1,$D6:$EE6)/12)*(1+XLOOKUP(F$2,Assumptions!$C$94:$M$94,Assumptions!$C$97:$M$97)))</f>
        <v>12439.35</v>
      </c>
      <c r="G6" s="54">
        <f t="array" ref="G6">IF(G$2=1,Assumptions!$H6/12,(SUMIF($D$2:$EE$2,G$2-1,$D6:$EE6)/12)*(1+XLOOKUP(G$2,Assumptions!$C$94:$M$94,Assumptions!$C$97:$M$97)))</f>
        <v>12439.35</v>
      </c>
      <c r="H6" s="54">
        <f t="array" ref="H6">IF(H$2=1,Assumptions!$H6/12,(SUMIF($D$2:$EE$2,H$2-1,$D6:$EE6)/12)*(1+XLOOKUP(H$2,Assumptions!$C$94:$M$94,Assumptions!$C$97:$M$97)))</f>
        <v>12439.35</v>
      </c>
      <c r="I6" s="54">
        <f t="array" ref="I6">IF(I$2=1,Assumptions!$H6/12,(SUMIF($D$2:$EE$2,I$2-1,$D6:$EE6)/12)*(1+XLOOKUP(I$2,Assumptions!$C$94:$M$94,Assumptions!$C$97:$M$97)))</f>
        <v>12439.35</v>
      </c>
      <c r="J6" s="54">
        <f t="array" ref="J6">IF(J$2=1,Assumptions!$H6/12,(SUMIF($D$2:$EE$2,J$2-1,$D6:$EE6)/12)*(1+XLOOKUP(J$2,Assumptions!$C$94:$M$94,Assumptions!$C$97:$M$97)))</f>
        <v>12439.35</v>
      </c>
      <c r="K6" s="54">
        <f t="array" ref="K6">IF(K$2=1,Assumptions!$H6/12,(SUMIF($D$2:$EE$2,K$2-1,$D6:$EE6)/12)*(1+XLOOKUP(K$2,Assumptions!$C$94:$M$94,Assumptions!$C$97:$M$97)))</f>
        <v>12439.35</v>
      </c>
      <c r="L6" s="54">
        <f t="array" ref="L6">IF(L$2=1,Assumptions!$H6/12,(SUMIF($D$2:$EE$2,L$2-1,$D6:$EE6)/12)*(1+XLOOKUP(L$2,Assumptions!$C$94:$M$94,Assumptions!$C$97:$M$97)))</f>
        <v>12439.35</v>
      </c>
      <c r="M6" s="54">
        <f t="array" ref="M6">IF(M$2=1,Assumptions!$H6/12,(SUMIF($D$2:$EE$2,M$2-1,$D6:$EE6)/12)*(1+XLOOKUP(M$2,Assumptions!$C$94:$M$94,Assumptions!$C$97:$M$97)))</f>
        <v>12439.35</v>
      </c>
      <c r="N6" s="54">
        <f t="array" ref="N6">IF(N$2=1,Assumptions!$H6/12,(SUMIF($D$2:$EE$2,N$2-1,$D6:$EE6)/12)*(1+XLOOKUP(N$2,Assumptions!$C$94:$M$94,Assumptions!$C$97:$M$97)))</f>
        <v>12439.35</v>
      </c>
      <c r="O6" s="54">
        <f t="array" ref="O6">IF(O$2=1,Assumptions!$H6/12,(SUMIF($D$2:$EE$2,O$2-1,$D6:$EE6)/12)*(1+XLOOKUP(O$2,Assumptions!$C$94:$M$94,Assumptions!$C$97:$M$97)))</f>
        <v>12439.35</v>
      </c>
      <c r="P6" s="54">
        <f t="array" ref="P6">IF(P$2=1,Assumptions!$H6/12,(SUMIF($D$2:$EE$2,P$2-1,$D6:$EE6)/12)*(1+XLOOKUP(P$2,Assumptions!$C$94:$M$94,Assumptions!$C$97:$M$97)))</f>
        <v>12812.5305</v>
      </c>
      <c r="Q6" s="54">
        <f t="array" ref="Q6">IF(Q$2=1,Assumptions!$H6/12,(SUMIF($D$2:$EE$2,Q$2-1,$D6:$EE6)/12)*(1+XLOOKUP(Q$2,Assumptions!$C$94:$M$94,Assumptions!$C$97:$M$97)))</f>
        <v>12812.5305</v>
      </c>
      <c r="R6" s="54">
        <f t="array" ref="R6">IF(R$2=1,Assumptions!$H6/12,(SUMIF($D$2:$EE$2,R$2-1,$D6:$EE6)/12)*(1+XLOOKUP(R$2,Assumptions!$C$94:$M$94,Assumptions!$C$97:$M$97)))</f>
        <v>12812.5305</v>
      </c>
      <c r="S6" s="54">
        <f t="array" ref="S6">IF(S$2=1,Assumptions!$H6/12,(SUMIF($D$2:$EE$2,S$2-1,$D6:$EE6)/12)*(1+XLOOKUP(S$2,Assumptions!$C$94:$M$94,Assumptions!$C$97:$M$97)))</f>
        <v>12812.5305</v>
      </c>
      <c r="T6" s="54">
        <f t="array" ref="T6">IF(T$2=1,Assumptions!$H6/12,(SUMIF($D$2:$EE$2,T$2-1,$D6:$EE6)/12)*(1+XLOOKUP(T$2,Assumptions!$C$94:$M$94,Assumptions!$C$97:$M$97)))</f>
        <v>12812.5305</v>
      </c>
      <c r="U6" s="54">
        <f t="array" ref="U6">IF(U$2=1,Assumptions!$H6/12,(SUMIF($D$2:$EE$2,U$2-1,$D6:$EE6)/12)*(1+XLOOKUP(U$2,Assumptions!$C$94:$M$94,Assumptions!$C$97:$M$97)))</f>
        <v>12812.5305</v>
      </c>
      <c r="V6" s="54">
        <f t="array" ref="V6">IF(V$2=1,Assumptions!$H6/12,(SUMIF($D$2:$EE$2,V$2-1,$D6:$EE6)/12)*(1+XLOOKUP(V$2,Assumptions!$C$94:$M$94,Assumptions!$C$97:$M$97)))</f>
        <v>12812.5305</v>
      </c>
      <c r="W6" s="54">
        <f t="array" ref="W6">IF(W$2=1,Assumptions!$H6/12,(SUMIF($D$2:$EE$2,W$2-1,$D6:$EE6)/12)*(1+XLOOKUP(W$2,Assumptions!$C$94:$M$94,Assumptions!$C$97:$M$97)))</f>
        <v>12812.5305</v>
      </c>
      <c r="X6" s="54">
        <f t="array" ref="X6">IF(X$2=1,Assumptions!$H6/12,(SUMIF($D$2:$EE$2,X$2-1,$D6:$EE6)/12)*(1+XLOOKUP(X$2,Assumptions!$C$94:$M$94,Assumptions!$C$97:$M$97)))</f>
        <v>12812.5305</v>
      </c>
      <c r="Y6" s="54">
        <f t="array" ref="Y6">IF(Y$2=1,Assumptions!$H6/12,(SUMIF($D$2:$EE$2,Y$2-1,$D6:$EE6)/12)*(1+XLOOKUP(Y$2,Assumptions!$C$94:$M$94,Assumptions!$C$97:$M$97)))</f>
        <v>12812.5305</v>
      </c>
      <c r="Z6" s="54">
        <f t="array" ref="Z6">IF(Z$2=1,Assumptions!$H6/12,(SUMIF($D$2:$EE$2,Z$2-1,$D6:$EE6)/12)*(1+XLOOKUP(Z$2,Assumptions!$C$94:$M$94,Assumptions!$C$97:$M$97)))</f>
        <v>12812.5305</v>
      </c>
      <c r="AA6" s="54">
        <f t="array" ref="AA6">IF(AA$2=1,Assumptions!$H6/12,(SUMIF($D$2:$EE$2,AA$2-1,$D6:$EE6)/12)*(1+XLOOKUP(AA$2,Assumptions!$C$94:$M$94,Assumptions!$C$97:$M$97)))</f>
        <v>12812.5305</v>
      </c>
      <c r="AB6" s="54">
        <f t="array" ref="AB6">IF(AB$2=1,Assumptions!$H6/12,(SUMIF($D$2:$EE$2,AB$2-1,$D6:$EE6)/12)*(1+XLOOKUP(AB$2,Assumptions!$C$94:$M$94,Assumptions!$C$97:$M$97)))</f>
        <v>13196.90642</v>
      </c>
      <c r="AC6" s="54">
        <f t="array" ref="AC6">IF(AC$2=1,Assumptions!$H6/12,(SUMIF($D$2:$EE$2,AC$2-1,$D6:$EE6)/12)*(1+XLOOKUP(AC$2,Assumptions!$C$94:$M$94,Assumptions!$C$97:$M$97)))</f>
        <v>13196.90642</v>
      </c>
      <c r="AD6" s="54">
        <f t="array" ref="AD6">IF(AD$2=1,Assumptions!$H6/12,(SUMIF($D$2:$EE$2,AD$2-1,$D6:$EE6)/12)*(1+XLOOKUP(AD$2,Assumptions!$C$94:$M$94,Assumptions!$C$97:$M$97)))</f>
        <v>13196.90642</v>
      </c>
      <c r="AE6" s="54">
        <f t="array" ref="AE6">IF(AE$2=1,Assumptions!$H6/12,(SUMIF($D$2:$EE$2,AE$2-1,$D6:$EE6)/12)*(1+XLOOKUP(AE$2,Assumptions!$C$94:$M$94,Assumptions!$C$97:$M$97)))</f>
        <v>13196.90642</v>
      </c>
      <c r="AF6" s="54">
        <f t="array" ref="AF6">IF(AF$2=1,Assumptions!$H6/12,(SUMIF($D$2:$EE$2,AF$2-1,$D6:$EE6)/12)*(1+XLOOKUP(AF$2,Assumptions!$C$94:$M$94,Assumptions!$C$97:$M$97)))</f>
        <v>13196.90642</v>
      </c>
      <c r="AG6" s="54">
        <f t="array" ref="AG6">IF(AG$2=1,Assumptions!$H6/12,(SUMIF($D$2:$EE$2,AG$2-1,$D6:$EE6)/12)*(1+XLOOKUP(AG$2,Assumptions!$C$94:$M$94,Assumptions!$C$97:$M$97)))</f>
        <v>13196.90642</v>
      </c>
      <c r="AH6" s="54">
        <f t="array" ref="AH6">IF(AH$2=1,Assumptions!$H6/12,(SUMIF($D$2:$EE$2,AH$2-1,$D6:$EE6)/12)*(1+XLOOKUP(AH$2,Assumptions!$C$94:$M$94,Assumptions!$C$97:$M$97)))</f>
        <v>13196.90642</v>
      </c>
      <c r="AI6" s="54">
        <f t="array" ref="AI6">IF(AI$2=1,Assumptions!$H6/12,(SUMIF($D$2:$EE$2,AI$2-1,$D6:$EE6)/12)*(1+XLOOKUP(AI$2,Assumptions!$C$94:$M$94,Assumptions!$C$97:$M$97)))</f>
        <v>13196.90642</v>
      </c>
      <c r="AJ6" s="54">
        <f t="array" ref="AJ6">IF(AJ$2=1,Assumptions!$H6/12,(SUMIF($D$2:$EE$2,AJ$2-1,$D6:$EE6)/12)*(1+XLOOKUP(AJ$2,Assumptions!$C$94:$M$94,Assumptions!$C$97:$M$97)))</f>
        <v>13196.90642</v>
      </c>
      <c r="AK6" s="54">
        <f t="array" ref="AK6">IF(AK$2=1,Assumptions!$H6/12,(SUMIF($D$2:$EE$2,AK$2-1,$D6:$EE6)/12)*(1+XLOOKUP(AK$2,Assumptions!$C$94:$M$94,Assumptions!$C$97:$M$97)))</f>
        <v>13196.90642</v>
      </c>
      <c r="AL6" s="54">
        <f t="array" ref="AL6">IF(AL$2=1,Assumptions!$H6/12,(SUMIF($D$2:$EE$2,AL$2-1,$D6:$EE6)/12)*(1+XLOOKUP(AL$2,Assumptions!$C$94:$M$94,Assumptions!$C$97:$M$97)))</f>
        <v>13196.90642</v>
      </c>
      <c r="AM6" s="54">
        <f t="array" ref="AM6">IF(AM$2=1,Assumptions!$H6/12,(SUMIF($D$2:$EE$2,AM$2-1,$D6:$EE6)/12)*(1+XLOOKUP(AM$2,Assumptions!$C$94:$M$94,Assumptions!$C$97:$M$97)))</f>
        <v>13196.90642</v>
      </c>
      <c r="AN6" s="54">
        <f t="array" ref="AN6">IF(AN$2=1,Assumptions!$H6/12,(SUMIF($D$2:$EE$2,AN$2-1,$D6:$EE6)/12)*(1+XLOOKUP(AN$2,Assumptions!$C$94:$M$94,Assumptions!$C$97:$M$97)))</f>
        <v>13592.81361</v>
      </c>
      <c r="AO6" s="54">
        <f t="array" ref="AO6">IF(AO$2=1,Assumptions!$H6/12,(SUMIF($D$2:$EE$2,AO$2-1,$D6:$EE6)/12)*(1+XLOOKUP(AO$2,Assumptions!$C$94:$M$94,Assumptions!$C$97:$M$97)))</f>
        <v>13592.81361</v>
      </c>
      <c r="AP6" s="54">
        <f t="array" ref="AP6">IF(AP$2=1,Assumptions!$H6/12,(SUMIF($D$2:$EE$2,AP$2-1,$D6:$EE6)/12)*(1+XLOOKUP(AP$2,Assumptions!$C$94:$M$94,Assumptions!$C$97:$M$97)))</f>
        <v>13592.81361</v>
      </c>
      <c r="AQ6" s="54">
        <f t="array" ref="AQ6">IF(AQ$2=1,Assumptions!$H6/12,(SUMIF($D$2:$EE$2,AQ$2-1,$D6:$EE6)/12)*(1+XLOOKUP(AQ$2,Assumptions!$C$94:$M$94,Assumptions!$C$97:$M$97)))</f>
        <v>13592.81361</v>
      </c>
      <c r="AR6" s="54">
        <f t="array" ref="AR6">IF(AR$2=1,Assumptions!$H6/12,(SUMIF($D$2:$EE$2,AR$2-1,$D6:$EE6)/12)*(1+XLOOKUP(AR$2,Assumptions!$C$94:$M$94,Assumptions!$C$97:$M$97)))</f>
        <v>13592.81361</v>
      </c>
      <c r="AS6" s="54">
        <f t="array" ref="AS6">IF(AS$2=1,Assumptions!$H6/12,(SUMIF($D$2:$EE$2,AS$2-1,$D6:$EE6)/12)*(1+XLOOKUP(AS$2,Assumptions!$C$94:$M$94,Assumptions!$C$97:$M$97)))</f>
        <v>13592.81361</v>
      </c>
      <c r="AT6" s="54">
        <f t="array" ref="AT6">IF(AT$2=1,Assumptions!$H6/12,(SUMIF($D$2:$EE$2,AT$2-1,$D6:$EE6)/12)*(1+XLOOKUP(AT$2,Assumptions!$C$94:$M$94,Assumptions!$C$97:$M$97)))</f>
        <v>13592.81361</v>
      </c>
      <c r="AU6" s="54">
        <f t="array" ref="AU6">IF(AU$2=1,Assumptions!$H6/12,(SUMIF($D$2:$EE$2,AU$2-1,$D6:$EE6)/12)*(1+XLOOKUP(AU$2,Assumptions!$C$94:$M$94,Assumptions!$C$97:$M$97)))</f>
        <v>13592.81361</v>
      </c>
      <c r="AV6" s="54">
        <f t="array" ref="AV6">IF(AV$2=1,Assumptions!$H6/12,(SUMIF($D$2:$EE$2,AV$2-1,$D6:$EE6)/12)*(1+XLOOKUP(AV$2,Assumptions!$C$94:$M$94,Assumptions!$C$97:$M$97)))</f>
        <v>13592.81361</v>
      </c>
      <c r="AW6" s="54">
        <f t="array" ref="AW6">IF(AW$2=1,Assumptions!$H6/12,(SUMIF($D$2:$EE$2,AW$2-1,$D6:$EE6)/12)*(1+XLOOKUP(AW$2,Assumptions!$C$94:$M$94,Assumptions!$C$97:$M$97)))</f>
        <v>13592.81361</v>
      </c>
      <c r="AX6" s="54">
        <f t="array" ref="AX6">IF(AX$2=1,Assumptions!$H6/12,(SUMIF($D$2:$EE$2,AX$2-1,$D6:$EE6)/12)*(1+XLOOKUP(AX$2,Assumptions!$C$94:$M$94,Assumptions!$C$97:$M$97)))</f>
        <v>13592.81361</v>
      </c>
      <c r="AY6" s="54">
        <f t="array" ref="AY6">IF(AY$2=1,Assumptions!$H6/12,(SUMIF($D$2:$EE$2,AY$2-1,$D6:$EE6)/12)*(1+XLOOKUP(AY$2,Assumptions!$C$94:$M$94,Assumptions!$C$97:$M$97)))</f>
        <v>13592.81361</v>
      </c>
      <c r="AZ6" s="54">
        <f t="array" ref="AZ6">IF(AZ$2=1,Assumptions!$H6/12,(SUMIF($D$2:$EE$2,AZ$2-1,$D6:$EE6)/12)*(1+XLOOKUP(AZ$2,Assumptions!$C$94:$M$94,Assumptions!$C$97:$M$97)))</f>
        <v>14000.59802</v>
      </c>
      <c r="BA6" s="54">
        <f t="array" ref="BA6">IF(BA$2=1,Assumptions!$H6/12,(SUMIF($D$2:$EE$2,BA$2-1,$D6:$EE6)/12)*(1+XLOOKUP(BA$2,Assumptions!$C$94:$M$94,Assumptions!$C$97:$M$97)))</f>
        <v>14000.59802</v>
      </c>
      <c r="BB6" s="54">
        <f t="array" ref="BB6">IF(BB$2=1,Assumptions!$H6/12,(SUMIF($D$2:$EE$2,BB$2-1,$D6:$EE6)/12)*(1+XLOOKUP(BB$2,Assumptions!$C$94:$M$94,Assumptions!$C$97:$M$97)))</f>
        <v>14000.59802</v>
      </c>
      <c r="BC6" s="54">
        <f t="array" ref="BC6">IF(BC$2=1,Assumptions!$H6/12,(SUMIF($D$2:$EE$2,BC$2-1,$D6:$EE6)/12)*(1+XLOOKUP(BC$2,Assumptions!$C$94:$M$94,Assumptions!$C$97:$M$97)))</f>
        <v>14000.59802</v>
      </c>
      <c r="BD6" s="54">
        <f t="array" ref="BD6">IF(BD$2=1,Assumptions!$H6/12,(SUMIF($D$2:$EE$2,BD$2-1,$D6:$EE6)/12)*(1+XLOOKUP(BD$2,Assumptions!$C$94:$M$94,Assumptions!$C$97:$M$97)))</f>
        <v>14000.59802</v>
      </c>
      <c r="BE6" s="54">
        <f t="array" ref="BE6">IF(BE$2=1,Assumptions!$H6/12,(SUMIF($D$2:$EE$2,BE$2-1,$D6:$EE6)/12)*(1+XLOOKUP(BE$2,Assumptions!$C$94:$M$94,Assumptions!$C$97:$M$97)))</f>
        <v>14000.59802</v>
      </c>
      <c r="BF6" s="54">
        <f t="array" ref="BF6">IF(BF$2=1,Assumptions!$H6/12,(SUMIF($D$2:$EE$2,BF$2-1,$D6:$EE6)/12)*(1+XLOOKUP(BF$2,Assumptions!$C$94:$M$94,Assumptions!$C$97:$M$97)))</f>
        <v>14000.59802</v>
      </c>
      <c r="BG6" s="54">
        <f t="array" ref="BG6">IF(BG$2=1,Assumptions!$H6/12,(SUMIF($D$2:$EE$2,BG$2-1,$D6:$EE6)/12)*(1+XLOOKUP(BG$2,Assumptions!$C$94:$M$94,Assumptions!$C$97:$M$97)))</f>
        <v>14000.59802</v>
      </c>
      <c r="BH6" s="54">
        <f t="array" ref="BH6">IF(BH$2=1,Assumptions!$H6/12,(SUMIF($D$2:$EE$2,BH$2-1,$D6:$EE6)/12)*(1+XLOOKUP(BH$2,Assumptions!$C$94:$M$94,Assumptions!$C$97:$M$97)))</f>
        <v>14000.59802</v>
      </c>
      <c r="BI6" s="54">
        <f t="array" ref="BI6">IF(BI$2=1,Assumptions!$H6/12,(SUMIF($D$2:$EE$2,BI$2-1,$D6:$EE6)/12)*(1+XLOOKUP(BI$2,Assumptions!$C$94:$M$94,Assumptions!$C$97:$M$97)))</f>
        <v>14000.59802</v>
      </c>
      <c r="BJ6" s="54">
        <f t="array" ref="BJ6">IF(BJ$2=1,Assumptions!$H6/12,(SUMIF($D$2:$EE$2,BJ$2-1,$D6:$EE6)/12)*(1+XLOOKUP(BJ$2,Assumptions!$C$94:$M$94,Assumptions!$C$97:$M$97)))</f>
        <v>14000.59802</v>
      </c>
      <c r="BK6" s="54">
        <f t="array" ref="BK6">IF(BK$2=1,Assumptions!$H6/12,(SUMIF($D$2:$EE$2,BK$2-1,$D6:$EE6)/12)*(1+XLOOKUP(BK$2,Assumptions!$C$94:$M$94,Assumptions!$C$97:$M$97)))</f>
        <v>14000.59802</v>
      </c>
      <c r="BL6" s="54">
        <f t="array" ref="BL6">IF(BL$2=1,Assumptions!$H6/12,(SUMIF($D$2:$EE$2,BL$2-1,$D6:$EE6)/12)*(1+XLOOKUP(BL$2,Assumptions!$C$94:$M$94,Assumptions!$C$97:$M$97)))</f>
        <v>14420.61596</v>
      </c>
      <c r="BM6" s="54">
        <f t="array" ref="BM6">IF(BM$2=1,Assumptions!$H6/12,(SUMIF($D$2:$EE$2,BM$2-1,$D6:$EE6)/12)*(1+XLOOKUP(BM$2,Assumptions!$C$94:$M$94,Assumptions!$C$97:$M$97)))</f>
        <v>14420.61596</v>
      </c>
      <c r="BN6" s="54">
        <f t="array" ref="BN6">IF(BN$2=1,Assumptions!$H6/12,(SUMIF($D$2:$EE$2,BN$2-1,$D6:$EE6)/12)*(1+XLOOKUP(BN$2,Assumptions!$C$94:$M$94,Assumptions!$C$97:$M$97)))</f>
        <v>14420.61596</v>
      </c>
      <c r="BO6" s="54">
        <f t="array" ref="BO6">IF(BO$2=1,Assumptions!$H6/12,(SUMIF($D$2:$EE$2,BO$2-1,$D6:$EE6)/12)*(1+XLOOKUP(BO$2,Assumptions!$C$94:$M$94,Assumptions!$C$97:$M$97)))</f>
        <v>14420.61596</v>
      </c>
      <c r="BP6" s="54">
        <f t="array" ref="BP6">IF(BP$2=1,Assumptions!$H6/12,(SUMIF($D$2:$EE$2,BP$2-1,$D6:$EE6)/12)*(1+XLOOKUP(BP$2,Assumptions!$C$94:$M$94,Assumptions!$C$97:$M$97)))</f>
        <v>14420.61596</v>
      </c>
      <c r="BQ6" s="54">
        <f t="array" ref="BQ6">IF(BQ$2=1,Assumptions!$H6/12,(SUMIF($D$2:$EE$2,BQ$2-1,$D6:$EE6)/12)*(1+XLOOKUP(BQ$2,Assumptions!$C$94:$M$94,Assumptions!$C$97:$M$97)))</f>
        <v>14420.61596</v>
      </c>
      <c r="BR6" s="54">
        <f t="array" ref="BR6">IF(BR$2=1,Assumptions!$H6/12,(SUMIF($D$2:$EE$2,BR$2-1,$D6:$EE6)/12)*(1+XLOOKUP(BR$2,Assumptions!$C$94:$M$94,Assumptions!$C$97:$M$97)))</f>
        <v>14420.61596</v>
      </c>
      <c r="BS6" s="54">
        <f t="array" ref="BS6">IF(BS$2=1,Assumptions!$H6/12,(SUMIF($D$2:$EE$2,BS$2-1,$D6:$EE6)/12)*(1+XLOOKUP(BS$2,Assumptions!$C$94:$M$94,Assumptions!$C$97:$M$97)))</f>
        <v>14420.61596</v>
      </c>
      <c r="BT6" s="54">
        <f t="array" ref="BT6">IF(BT$2=1,Assumptions!$H6/12,(SUMIF($D$2:$EE$2,BT$2-1,$D6:$EE6)/12)*(1+XLOOKUP(BT$2,Assumptions!$C$94:$M$94,Assumptions!$C$97:$M$97)))</f>
        <v>14420.61596</v>
      </c>
      <c r="BU6" s="54">
        <f t="array" ref="BU6">IF(BU$2=1,Assumptions!$H6/12,(SUMIF($D$2:$EE$2,BU$2-1,$D6:$EE6)/12)*(1+XLOOKUP(BU$2,Assumptions!$C$94:$M$94,Assumptions!$C$97:$M$97)))</f>
        <v>14420.61596</v>
      </c>
      <c r="BV6" s="54">
        <f t="array" ref="BV6">IF(BV$2=1,Assumptions!$H6/12,(SUMIF($D$2:$EE$2,BV$2-1,$D6:$EE6)/12)*(1+XLOOKUP(BV$2,Assumptions!$C$94:$M$94,Assumptions!$C$97:$M$97)))</f>
        <v>14420.61596</v>
      </c>
      <c r="BW6" s="54">
        <f t="array" ref="BW6">IF(BW$2=1,Assumptions!$H6/12,(SUMIF($D$2:$EE$2,BW$2-1,$D6:$EE6)/12)*(1+XLOOKUP(BW$2,Assumptions!$C$94:$M$94,Assumptions!$C$97:$M$97)))</f>
        <v>14420.61596</v>
      </c>
      <c r="BX6" s="54">
        <f t="array" ref="BX6">IF(BX$2=1,Assumptions!$H6/12,(SUMIF($D$2:$EE$2,BX$2-1,$D6:$EE6)/12)*(1+XLOOKUP(BX$2,Assumptions!$C$94:$M$94,Assumptions!$C$97:$M$97)))</f>
        <v>14853.23443</v>
      </c>
      <c r="BY6" s="54">
        <f t="array" ref="BY6">IF(BY$2=1,Assumptions!$H6/12,(SUMIF($D$2:$EE$2,BY$2-1,$D6:$EE6)/12)*(1+XLOOKUP(BY$2,Assumptions!$C$94:$M$94,Assumptions!$C$97:$M$97)))</f>
        <v>14853.23443</v>
      </c>
      <c r="BZ6" s="54">
        <f t="array" ref="BZ6">IF(BZ$2=1,Assumptions!$H6/12,(SUMIF($D$2:$EE$2,BZ$2-1,$D6:$EE6)/12)*(1+XLOOKUP(BZ$2,Assumptions!$C$94:$M$94,Assumptions!$C$97:$M$97)))</f>
        <v>14853.23443</v>
      </c>
      <c r="CA6" s="54">
        <f t="array" ref="CA6">IF(CA$2=1,Assumptions!$H6/12,(SUMIF($D$2:$EE$2,CA$2-1,$D6:$EE6)/12)*(1+XLOOKUP(CA$2,Assumptions!$C$94:$M$94,Assumptions!$C$97:$M$97)))</f>
        <v>14853.23443</v>
      </c>
      <c r="CB6" s="54">
        <f t="array" ref="CB6">IF(CB$2=1,Assumptions!$H6/12,(SUMIF($D$2:$EE$2,CB$2-1,$D6:$EE6)/12)*(1+XLOOKUP(CB$2,Assumptions!$C$94:$M$94,Assumptions!$C$97:$M$97)))</f>
        <v>14853.23443</v>
      </c>
      <c r="CC6" s="54">
        <f t="array" ref="CC6">IF(CC$2=1,Assumptions!$H6/12,(SUMIF($D$2:$EE$2,CC$2-1,$D6:$EE6)/12)*(1+XLOOKUP(CC$2,Assumptions!$C$94:$M$94,Assumptions!$C$97:$M$97)))</f>
        <v>14853.23443</v>
      </c>
      <c r="CD6" s="54">
        <f t="array" ref="CD6">IF(CD$2=1,Assumptions!$H6/12,(SUMIF($D$2:$EE$2,CD$2-1,$D6:$EE6)/12)*(1+XLOOKUP(CD$2,Assumptions!$C$94:$M$94,Assumptions!$C$97:$M$97)))</f>
        <v>14853.23443</v>
      </c>
      <c r="CE6" s="54">
        <f t="array" ref="CE6">IF(CE$2=1,Assumptions!$H6/12,(SUMIF($D$2:$EE$2,CE$2-1,$D6:$EE6)/12)*(1+XLOOKUP(CE$2,Assumptions!$C$94:$M$94,Assumptions!$C$97:$M$97)))</f>
        <v>14853.23443</v>
      </c>
      <c r="CF6" s="54">
        <f t="array" ref="CF6">IF(CF$2=1,Assumptions!$H6/12,(SUMIF($D$2:$EE$2,CF$2-1,$D6:$EE6)/12)*(1+XLOOKUP(CF$2,Assumptions!$C$94:$M$94,Assumptions!$C$97:$M$97)))</f>
        <v>14853.23443</v>
      </c>
      <c r="CG6" s="54">
        <f t="array" ref="CG6">IF(CG$2=1,Assumptions!$H6/12,(SUMIF($D$2:$EE$2,CG$2-1,$D6:$EE6)/12)*(1+XLOOKUP(CG$2,Assumptions!$C$94:$M$94,Assumptions!$C$97:$M$97)))</f>
        <v>14853.23443</v>
      </c>
      <c r="CH6" s="54">
        <f t="array" ref="CH6">IF(CH$2=1,Assumptions!$H6/12,(SUMIF($D$2:$EE$2,CH$2-1,$D6:$EE6)/12)*(1+XLOOKUP(CH$2,Assumptions!$C$94:$M$94,Assumptions!$C$97:$M$97)))</f>
        <v>14853.23443</v>
      </c>
      <c r="CI6" s="54">
        <f t="array" ref="CI6">IF(CI$2=1,Assumptions!$H6/12,(SUMIF($D$2:$EE$2,CI$2-1,$D6:$EE6)/12)*(1+XLOOKUP(CI$2,Assumptions!$C$94:$M$94,Assumptions!$C$97:$M$97)))</f>
        <v>14853.23443</v>
      </c>
      <c r="CJ6" s="54">
        <f t="array" ref="CJ6">IF(CJ$2=1,Assumptions!$H6/12,(SUMIF($D$2:$EE$2,CJ$2-1,$D6:$EE6)/12)*(1+XLOOKUP(CJ$2,Assumptions!$C$94:$M$94,Assumptions!$C$97:$M$97)))</f>
        <v>15298.83147</v>
      </c>
      <c r="CK6" s="54">
        <f t="array" ref="CK6">IF(CK$2=1,Assumptions!$H6/12,(SUMIF($D$2:$EE$2,CK$2-1,$D6:$EE6)/12)*(1+XLOOKUP(CK$2,Assumptions!$C$94:$M$94,Assumptions!$C$97:$M$97)))</f>
        <v>15298.83147</v>
      </c>
      <c r="CL6" s="54">
        <f t="array" ref="CL6">IF(CL$2=1,Assumptions!$H6/12,(SUMIF($D$2:$EE$2,CL$2-1,$D6:$EE6)/12)*(1+XLOOKUP(CL$2,Assumptions!$C$94:$M$94,Assumptions!$C$97:$M$97)))</f>
        <v>15298.83147</v>
      </c>
      <c r="CM6" s="54">
        <f t="array" ref="CM6">IF(CM$2=1,Assumptions!$H6/12,(SUMIF($D$2:$EE$2,CM$2-1,$D6:$EE6)/12)*(1+XLOOKUP(CM$2,Assumptions!$C$94:$M$94,Assumptions!$C$97:$M$97)))</f>
        <v>15298.83147</v>
      </c>
      <c r="CN6" s="54">
        <f t="array" ref="CN6">IF(CN$2=1,Assumptions!$H6/12,(SUMIF($D$2:$EE$2,CN$2-1,$D6:$EE6)/12)*(1+XLOOKUP(CN$2,Assumptions!$C$94:$M$94,Assumptions!$C$97:$M$97)))</f>
        <v>15298.83147</v>
      </c>
      <c r="CO6" s="54">
        <f t="array" ref="CO6">IF(CO$2=1,Assumptions!$H6/12,(SUMIF($D$2:$EE$2,CO$2-1,$D6:$EE6)/12)*(1+XLOOKUP(CO$2,Assumptions!$C$94:$M$94,Assumptions!$C$97:$M$97)))</f>
        <v>15298.83147</v>
      </c>
      <c r="CP6" s="54">
        <f t="array" ref="CP6">IF(CP$2=1,Assumptions!$H6/12,(SUMIF($D$2:$EE$2,CP$2-1,$D6:$EE6)/12)*(1+XLOOKUP(CP$2,Assumptions!$C$94:$M$94,Assumptions!$C$97:$M$97)))</f>
        <v>15298.83147</v>
      </c>
      <c r="CQ6" s="54">
        <f t="array" ref="CQ6">IF(CQ$2=1,Assumptions!$H6/12,(SUMIF($D$2:$EE$2,CQ$2-1,$D6:$EE6)/12)*(1+XLOOKUP(CQ$2,Assumptions!$C$94:$M$94,Assumptions!$C$97:$M$97)))</f>
        <v>15298.83147</v>
      </c>
      <c r="CR6" s="54">
        <f t="array" ref="CR6">IF(CR$2=1,Assumptions!$H6/12,(SUMIF($D$2:$EE$2,CR$2-1,$D6:$EE6)/12)*(1+XLOOKUP(CR$2,Assumptions!$C$94:$M$94,Assumptions!$C$97:$M$97)))</f>
        <v>15298.83147</v>
      </c>
      <c r="CS6" s="54">
        <f t="array" ref="CS6">IF(CS$2=1,Assumptions!$H6/12,(SUMIF($D$2:$EE$2,CS$2-1,$D6:$EE6)/12)*(1+XLOOKUP(CS$2,Assumptions!$C$94:$M$94,Assumptions!$C$97:$M$97)))</f>
        <v>15298.83147</v>
      </c>
      <c r="CT6" s="54">
        <f t="array" ref="CT6">IF(CT$2=1,Assumptions!$H6/12,(SUMIF($D$2:$EE$2,CT$2-1,$D6:$EE6)/12)*(1+XLOOKUP(CT$2,Assumptions!$C$94:$M$94,Assumptions!$C$97:$M$97)))</f>
        <v>15298.83147</v>
      </c>
      <c r="CU6" s="54">
        <f t="array" ref="CU6">IF(CU$2=1,Assumptions!$H6/12,(SUMIF($D$2:$EE$2,CU$2-1,$D6:$EE6)/12)*(1+XLOOKUP(CU$2,Assumptions!$C$94:$M$94,Assumptions!$C$97:$M$97)))</f>
        <v>15298.83147</v>
      </c>
      <c r="CV6" s="54">
        <f t="array" ref="CV6">IF(CV$2=1,Assumptions!$H6/12,(SUMIF($D$2:$EE$2,CV$2-1,$D6:$EE6)/12)*(1+XLOOKUP(CV$2,Assumptions!$C$94:$M$94,Assumptions!$C$97:$M$97)))</f>
        <v>15757.79641</v>
      </c>
      <c r="CW6" s="54">
        <f t="array" ref="CW6">IF(CW$2=1,Assumptions!$H6/12,(SUMIF($D$2:$EE$2,CW$2-1,$D6:$EE6)/12)*(1+XLOOKUP(CW$2,Assumptions!$C$94:$M$94,Assumptions!$C$97:$M$97)))</f>
        <v>15757.79641</v>
      </c>
      <c r="CX6" s="54">
        <f t="array" ref="CX6">IF(CX$2=1,Assumptions!$H6/12,(SUMIF($D$2:$EE$2,CX$2-1,$D6:$EE6)/12)*(1+XLOOKUP(CX$2,Assumptions!$C$94:$M$94,Assumptions!$C$97:$M$97)))</f>
        <v>15757.79641</v>
      </c>
      <c r="CY6" s="54">
        <f t="array" ref="CY6">IF(CY$2=1,Assumptions!$H6/12,(SUMIF($D$2:$EE$2,CY$2-1,$D6:$EE6)/12)*(1+XLOOKUP(CY$2,Assumptions!$C$94:$M$94,Assumptions!$C$97:$M$97)))</f>
        <v>15757.79641</v>
      </c>
      <c r="CZ6" s="54">
        <f t="array" ref="CZ6">IF(CZ$2=1,Assumptions!$H6/12,(SUMIF($D$2:$EE$2,CZ$2-1,$D6:$EE6)/12)*(1+XLOOKUP(CZ$2,Assumptions!$C$94:$M$94,Assumptions!$C$97:$M$97)))</f>
        <v>15757.79641</v>
      </c>
      <c r="DA6" s="54">
        <f t="array" ref="DA6">IF(DA$2=1,Assumptions!$H6/12,(SUMIF($D$2:$EE$2,DA$2-1,$D6:$EE6)/12)*(1+XLOOKUP(DA$2,Assumptions!$C$94:$M$94,Assumptions!$C$97:$M$97)))</f>
        <v>15757.79641</v>
      </c>
      <c r="DB6" s="54">
        <f t="array" ref="DB6">IF(DB$2=1,Assumptions!$H6/12,(SUMIF($D$2:$EE$2,DB$2-1,$D6:$EE6)/12)*(1+XLOOKUP(DB$2,Assumptions!$C$94:$M$94,Assumptions!$C$97:$M$97)))</f>
        <v>15757.79641</v>
      </c>
      <c r="DC6" s="54">
        <f t="array" ref="DC6">IF(DC$2=1,Assumptions!$H6/12,(SUMIF($D$2:$EE$2,DC$2-1,$D6:$EE6)/12)*(1+XLOOKUP(DC$2,Assumptions!$C$94:$M$94,Assumptions!$C$97:$M$97)))</f>
        <v>15757.79641</v>
      </c>
      <c r="DD6" s="54">
        <f t="array" ref="DD6">IF(DD$2=1,Assumptions!$H6/12,(SUMIF($D$2:$EE$2,DD$2-1,$D6:$EE6)/12)*(1+XLOOKUP(DD$2,Assumptions!$C$94:$M$94,Assumptions!$C$97:$M$97)))</f>
        <v>15757.79641</v>
      </c>
      <c r="DE6" s="54">
        <f t="array" ref="DE6">IF(DE$2=1,Assumptions!$H6/12,(SUMIF($D$2:$EE$2,DE$2-1,$D6:$EE6)/12)*(1+XLOOKUP(DE$2,Assumptions!$C$94:$M$94,Assumptions!$C$97:$M$97)))</f>
        <v>15757.79641</v>
      </c>
      <c r="DF6" s="54">
        <f t="array" ref="DF6">IF(DF$2=1,Assumptions!$H6/12,(SUMIF($D$2:$EE$2,DF$2-1,$D6:$EE6)/12)*(1+XLOOKUP(DF$2,Assumptions!$C$94:$M$94,Assumptions!$C$97:$M$97)))</f>
        <v>15757.79641</v>
      </c>
      <c r="DG6" s="54">
        <f t="array" ref="DG6">IF(DG$2=1,Assumptions!$H6/12,(SUMIF($D$2:$EE$2,DG$2-1,$D6:$EE6)/12)*(1+XLOOKUP(DG$2,Assumptions!$C$94:$M$94,Assumptions!$C$97:$M$97)))</f>
        <v>15757.79641</v>
      </c>
      <c r="DH6" s="54">
        <f t="array" ref="DH6">IF(DH$2=1,Assumptions!$H6/12,(SUMIF($D$2:$EE$2,DH$2-1,$D6:$EE6)/12)*(1+XLOOKUP(DH$2,Assumptions!$C$94:$M$94,Assumptions!$C$97:$M$97)))</f>
        <v>16230.5303</v>
      </c>
      <c r="DI6" s="54">
        <f t="array" ref="DI6">IF(DI$2=1,Assumptions!$H6/12,(SUMIF($D$2:$EE$2,DI$2-1,$D6:$EE6)/12)*(1+XLOOKUP(DI$2,Assumptions!$C$94:$M$94,Assumptions!$C$97:$M$97)))</f>
        <v>16230.5303</v>
      </c>
      <c r="DJ6" s="54">
        <f t="array" ref="DJ6">IF(DJ$2=1,Assumptions!$H6/12,(SUMIF($D$2:$EE$2,DJ$2-1,$D6:$EE6)/12)*(1+XLOOKUP(DJ$2,Assumptions!$C$94:$M$94,Assumptions!$C$97:$M$97)))</f>
        <v>16230.5303</v>
      </c>
      <c r="DK6" s="54">
        <f t="array" ref="DK6">IF(DK$2=1,Assumptions!$H6/12,(SUMIF($D$2:$EE$2,DK$2-1,$D6:$EE6)/12)*(1+XLOOKUP(DK$2,Assumptions!$C$94:$M$94,Assumptions!$C$97:$M$97)))</f>
        <v>16230.5303</v>
      </c>
      <c r="DL6" s="54">
        <f t="array" ref="DL6">IF(DL$2=1,Assumptions!$H6/12,(SUMIF($D$2:$EE$2,DL$2-1,$D6:$EE6)/12)*(1+XLOOKUP(DL$2,Assumptions!$C$94:$M$94,Assumptions!$C$97:$M$97)))</f>
        <v>16230.5303</v>
      </c>
      <c r="DM6" s="54">
        <f t="array" ref="DM6">IF(DM$2=1,Assumptions!$H6/12,(SUMIF($D$2:$EE$2,DM$2-1,$D6:$EE6)/12)*(1+XLOOKUP(DM$2,Assumptions!$C$94:$M$94,Assumptions!$C$97:$M$97)))</f>
        <v>16230.5303</v>
      </c>
      <c r="DN6" s="54">
        <f t="array" ref="DN6">IF(DN$2=1,Assumptions!$H6/12,(SUMIF($D$2:$EE$2,DN$2-1,$D6:$EE6)/12)*(1+XLOOKUP(DN$2,Assumptions!$C$94:$M$94,Assumptions!$C$97:$M$97)))</f>
        <v>16230.5303</v>
      </c>
      <c r="DO6" s="54">
        <f t="array" ref="DO6">IF(DO$2=1,Assumptions!$H6/12,(SUMIF($D$2:$EE$2,DO$2-1,$D6:$EE6)/12)*(1+XLOOKUP(DO$2,Assumptions!$C$94:$M$94,Assumptions!$C$97:$M$97)))</f>
        <v>16230.5303</v>
      </c>
      <c r="DP6" s="54">
        <f t="array" ref="DP6">IF(DP$2=1,Assumptions!$H6/12,(SUMIF($D$2:$EE$2,DP$2-1,$D6:$EE6)/12)*(1+XLOOKUP(DP$2,Assumptions!$C$94:$M$94,Assumptions!$C$97:$M$97)))</f>
        <v>16230.5303</v>
      </c>
      <c r="DQ6" s="54">
        <f t="array" ref="DQ6">IF(DQ$2=1,Assumptions!$H6/12,(SUMIF($D$2:$EE$2,DQ$2-1,$D6:$EE6)/12)*(1+XLOOKUP(DQ$2,Assumptions!$C$94:$M$94,Assumptions!$C$97:$M$97)))</f>
        <v>16230.5303</v>
      </c>
      <c r="DR6" s="54">
        <f t="array" ref="DR6">IF(DR$2=1,Assumptions!$H6/12,(SUMIF($D$2:$EE$2,DR$2-1,$D6:$EE6)/12)*(1+XLOOKUP(DR$2,Assumptions!$C$94:$M$94,Assumptions!$C$97:$M$97)))</f>
        <v>16230.5303</v>
      </c>
      <c r="DS6" s="54">
        <f t="array" ref="DS6">IF(DS$2=1,Assumptions!$H6/12,(SUMIF($D$2:$EE$2,DS$2-1,$D6:$EE6)/12)*(1+XLOOKUP(DS$2,Assumptions!$C$94:$M$94,Assumptions!$C$97:$M$97)))</f>
        <v>16230.5303</v>
      </c>
      <c r="DT6" s="54">
        <f t="array" ref="DT6">IF(DT$2=1,Assumptions!$H6/12,(SUMIF($D$2:$EE$2,DT$2-1,$D6:$EE6)/12)*(1+XLOOKUP(DT$2,Assumptions!$C$94:$M$94,Assumptions!$C$97:$M$97)))</f>
        <v>16717.44621</v>
      </c>
      <c r="DU6" s="54">
        <f t="array" ref="DU6">IF(DU$2=1,Assumptions!$H6/12,(SUMIF($D$2:$EE$2,DU$2-1,$D6:$EE6)/12)*(1+XLOOKUP(DU$2,Assumptions!$C$94:$M$94,Assumptions!$C$97:$M$97)))</f>
        <v>16717.44621</v>
      </c>
      <c r="DV6" s="54">
        <f t="array" ref="DV6">IF(DV$2=1,Assumptions!$H6/12,(SUMIF($D$2:$EE$2,DV$2-1,$D6:$EE6)/12)*(1+XLOOKUP(DV$2,Assumptions!$C$94:$M$94,Assumptions!$C$97:$M$97)))</f>
        <v>16717.44621</v>
      </c>
      <c r="DW6" s="54">
        <f t="array" ref="DW6">IF(DW$2=1,Assumptions!$H6/12,(SUMIF($D$2:$EE$2,DW$2-1,$D6:$EE6)/12)*(1+XLOOKUP(DW$2,Assumptions!$C$94:$M$94,Assumptions!$C$97:$M$97)))</f>
        <v>16717.44621</v>
      </c>
      <c r="DX6" s="54">
        <f t="array" ref="DX6">IF(DX$2=1,Assumptions!$H6/12,(SUMIF($D$2:$EE$2,DX$2-1,$D6:$EE6)/12)*(1+XLOOKUP(DX$2,Assumptions!$C$94:$M$94,Assumptions!$C$97:$M$97)))</f>
        <v>16717.44621</v>
      </c>
      <c r="DY6" s="54">
        <f t="array" ref="DY6">IF(DY$2=1,Assumptions!$H6/12,(SUMIF($D$2:$EE$2,DY$2-1,$D6:$EE6)/12)*(1+XLOOKUP(DY$2,Assumptions!$C$94:$M$94,Assumptions!$C$97:$M$97)))</f>
        <v>16717.44621</v>
      </c>
      <c r="DZ6" s="54">
        <f t="array" ref="DZ6">IF(DZ$2=1,Assumptions!$H6/12,(SUMIF($D$2:$EE$2,DZ$2-1,$D6:$EE6)/12)*(1+XLOOKUP(DZ$2,Assumptions!$C$94:$M$94,Assumptions!$C$97:$M$97)))</f>
        <v>16717.44621</v>
      </c>
      <c r="EA6" s="54">
        <f t="array" ref="EA6">IF(EA$2=1,Assumptions!$H6/12,(SUMIF($D$2:$EE$2,EA$2-1,$D6:$EE6)/12)*(1+XLOOKUP(EA$2,Assumptions!$C$94:$M$94,Assumptions!$C$97:$M$97)))</f>
        <v>16717.44621</v>
      </c>
      <c r="EB6" s="54">
        <f t="array" ref="EB6">IF(EB$2=1,Assumptions!$H6/12,(SUMIF($D$2:$EE$2,EB$2-1,$D6:$EE6)/12)*(1+XLOOKUP(EB$2,Assumptions!$C$94:$M$94,Assumptions!$C$97:$M$97)))</f>
        <v>16717.44621</v>
      </c>
      <c r="EC6" s="54">
        <f t="array" ref="EC6">IF(EC$2=1,Assumptions!$H6/12,(SUMIF($D$2:$EE$2,EC$2-1,$D6:$EE6)/12)*(1+XLOOKUP(EC$2,Assumptions!$C$94:$M$94,Assumptions!$C$97:$M$97)))</f>
        <v>16717.44621</v>
      </c>
      <c r="ED6" s="54">
        <f t="array" ref="ED6">IF(ED$2=1,Assumptions!$H6/12,(SUMIF($D$2:$EE$2,ED$2-1,$D6:$EE6)/12)*(1+XLOOKUP(ED$2,Assumptions!$C$94:$M$94,Assumptions!$C$97:$M$97)))</f>
        <v>16717.44621</v>
      </c>
      <c r="EE6" s="54">
        <f t="array" ref="EE6">IF(EE$2=1,Assumptions!$H6/12,(SUMIF($D$2:$EE$2,EE$2-1,$D6:$EE6)/12)*(1+XLOOKUP(EE$2,Assumptions!$C$94:$M$94,Assumptions!$C$97:$M$97)))</f>
        <v>16717.44621</v>
      </c>
    </row>
    <row r="7" ht="15.75" customHeight="1">
      <c r="A7" s="1"/>
      <c r="B7" s="1"/>
      <c r="C7" s="1" t="str">
        <f>Assumptions!B7</f>
        <v>4x3</v>
      </c>
      <c r="D7" s="54">
        <f t="array" ref="D7">IF(D$2=1,Assumptions!$H7/12,(SUMIF($D$2:$EE$2,D$2-1,$D7:$EE7)/12)*(1+XLOOKUP(D$2,Assumptions!$C$94:$M$94,Assumptions!$C$97:$M$97)))</f>
        <v>19188.75</v>
      </c>
      <c r="E7" s="54">
        <f t="array" ref="E7">IF(E$2=1,Assumptions!$H7/12,(SUMIF($D$2:$EE$2,E$2-1,$D7:$EE7)/12)*(1+XLOOKUP(E$2,Assumptions!$C$94:$M$94,Assumptions!$C$97:$M$97)))</f>
        <v>19188.75</v>
      </c>
      <c r="F7" s="54">
        <f t="array" ref="F7">IF(F$2=1,Assumptions!$H7/12,(SUMIF($D$2:$EE$2,F$2-1,$D7:$EE7)/12)*(1+XLOOKUP(F$2,Assumptions!$C$94:$M$94,Assumptions!$C$97:$M$97)))</f>
        <v>19188.75</v>
      </c>
      <c r="G7" s="54">
        <f t="array" ref="G7">IF(G$2=1,Assumptions!$H7/12,(SUMIF($D$2:$EE$2,G$2-1,$D7:$EE7)/12)*(1+XLOOKUP(G$2,Assumptions!$C$94:$M$94,Assumptions!$C$97:$M$97)))</f>
        <v>19188.75</v>
      </c>
      <c r="H7" s="54">
        <f t="array" ref="H7">IF(H$2=1,Assumptions!$H7/12,(SUMIF($D$2:$EE$2,H$2-1,$D7:$EE7)/12)*(1+XLOOKUP(H$2,Assumptions!$C$94:$M$94,Assumptions!$C$97:$M$97)))</f>
        <v>19188.75</v>
      </c>
      <c r="I7" s="54">
        <f t="array" ref="I7">IF(I$2=1,Assumptions!$H7/12,(SUMIF($D$2:$EE$2,I$2-1,$D7:$EE7)/12)*(1+XLOOKUP(I$2,Assumptions!$C$94:$M$94,Assumptions!$C$97:$M$97)))</f>
        <v>19188.75</v>
      </c>
      <c r="J7" s="54">
        <f t="array" ref="J7">IF(J$2=1,Assumptions!$H7/12,(SUMIF($D$2:$EE$2,J$2-1,$D7:$EE7)/12)*(1+XLOOKUP(J$2,Assumptions!$C$94:$M$94,Assumptions!$C$97:$M$97)))</f>
        <v>19188.75</v>
      </c>
      <c r="K7" s="54">
        <f t="array" ref="K7">IF(K$2=1,Assumptions!$H7/12,(SUMIF($D$2:$EE$2,K$2-1,$D7:$EE7)/12)*(1+XLOOKUP(K$2,Assumptions!$C$94:$M$94,Assumptions!$C$97:$M$97)))</f>
        <v>19188.75</v>
      </c>
      <c r="L7" s="54">
        <f t="array" ref="L7">IF(L$2=1,Assumptions!$H7/12,(SUMIF($D$2:$EE$2,L$2-1,$D7:$EE7)/12)*(1+XLOOKUP(L$2,Assumptions!$C$94:$M$94,Assumptions!$C$97:$M$97)))</f>
        <v>19188.75</v>
      </c>
      <c r="M7" s="54">
        <f t="array" ref="M7">IF(M$2=1,Assumptions!$H7/12,(SUMIF($D$2:$EE$2,M$2-1,$D7:$EE7)/12)*(1+XLOOKUP(M$2,Assumptions!$C$94:$M$94,Assumptions!$C$97:$M$97)))</f>
        <v>19188.75</v>
      </c>
      <c r="N7" s="54">
        <f t="array" ref="N7">IF(N$2=1,Assumptions!$H7/12,(SUMIF($D$2:$EE$2,N$2-1,$D7:$EE7)/12)*(1+XLOOKUP(N$2,Assumptions!$C$94:$M$94,Assumptions!$C$97:$M$97)))</f>
        <v>19188.75</v>
      </c>
      <c r="O7" s="54">
        <f t="array" ref="O7">IF(O$2=1,Assumptions!$H7/12,(SUMIF($D$2:$EE$2,O$2-1,$D7:$EE7)/12)*(1+XLOOKUP(O$2,Assumptions!$C$94:$M$94,Assumptions!$C$97:$M$97)))</f>
        <v>19188.75</v>
      </c>
      <c r="P7" s="54">
        <f t="array" ref="P7">IF(P$2=1,Assumptions!$H7/12,(SUMIF($D$2:$EE$2,P$2-1,$D7:$EE7)/12)*(1+XLOOKUP(P$2,Assumptions!$C$94:$M$94,Assumptions!$C$97:$M$97)))</f>
        <v>19764.4125</v>
      </c>
      <c r="Q7" s="54">
        <f t="array" ref="Q7">IF(Q$2=1,Assumptions!$H7/12,(SUMIF($D$2:$EE$2,Q$2-1,$D7:$EE7)/12)*(1+XLOOKUP(Q$2,Assumptions!$C$94:$M$94,Assumptions!$C$97:$M$97)))</f>
        <v>19764.4125</v>
      </c>
      <c r="R7" s="54">
        <f t="array" ref="R7">IF(R$2=1,Assumptions!$H7/12,(SUMIF($D$2:$EE$2,R$2-1,$D7:$EE7)/12)*(1+XLOOKUP(R$2,Assumptions!$C$94:$M$94,Assumptions!$C$97:$M$97)))</f>
        <v>19764.4125</v>
      </c>
      <c r="S7" s="54">
        <f t="array" ref="S7">IF(S$2=1,Assumptions!$H7/12,(SUMIF($D$2:$EE$2,S$2-1,$D7:$EE7)/12)*(1+XLOOKUP(S$2,Assumptions!$C$94:$M$94,Assumptions!$C$97:$M$97)))</f>
        <v>19764.4125</v>
      </c>
      <c r="T7" s="54">
        <f t="array" ref="T7">IF(T$2=1,Assumptions!$H7/12,(SUMIF($D$2:$EE$2,T$2-1,$D7:$EE7)/12)*(1+XLOOKUP(T$2,Assumptions!$C$94:$M$94,Assumptions!$C$97:$M$97)))</f>
        <v>19764.4125</v>
      </c>
      <c r="U7" s="54">
        <f t="array" ref="U7">IF(U$2=1,Assumptions!$H7/12,(SUMIF($D$2:$EE$2,U$2-1,$D7:$EE7)/12)*(1+XLOOKUP(U$2,Assumptions!$C$94:$M$94,Assumptions!$C$97:$M$97)))</f>
        <v>19764.4125</v>
      </c>
      <c r="V7" s="54">
        <f t="array" ref="V7">IF(V$2=1,Assumptions!$H7/12,(SUMIF($D$2:$EE$2,V$2-1,$D7:$EE7)/12)*(1+XLOOKUP(V$2,Assumptions!$C$94:$M$94,Assumptions!$C$97:$M$97)))</f>
        <v>19764.4125</v>
      </c>
      <c r="W7" s="54">
        <f t="array" ref="W7">IF(W$2=1,Assumptions!$H7/12,(SUMIF($D$2:$EE$2,W$2-1,$D7:$EE7)/12)*(1+XLOOKUP(W$2,Assumptions!$C$94:$M$94,Assumptions!$C$97:$M$97)))</f>
        <v>19764.4125</v>
      </c>
      <c r="X7" s="54">
        <f t="array" ref="X7">IF(X$2=1,Assumptions!$H7/12,(SUMIF($D$2:$EE$2,X$2-1,$D7:$EE7)/12)*(1+XLOOKUP(X$2,Assumptions!$C$94:$M$94,Assumptions!$C$97:$M$97)))</f>
        <v>19764.4125</v>
      </c>
      <c r="Y7" s="54">
        <f t="array" ref="Y7">IF(Y$2=1,Assumptions!$H7/12,(SUMIF($D$2:$EE$2,Y$2-1,$D7:$EE7)/12)*(1+XLOOKUP(Y$2,Assumptions!$C$94:$M$94,Assumptions!$C$97:$M$97)))</f>
        <v>19764.4125</v>
      </c>
      <c r="Z7" s="54">
        <f t="array" ref="Z7">IF(Z$2=1,Assumptions!$H7/12,(SUMIF($D$2:$EE$2,Z$2-1,$D7:$EE7)/12)*(1+XLOOKUP(Z$2,Assumptions!$C$94:$M$94,Assumptions!$C$97:$M$97)))</f>
        <v>19764.4125</v>
      </c>
      <c r="AA7" s="54">
        <f t="array" ref="AA7">IF(AA$2=1,Assumptions!$H7/12,(SUMIF($D$2:$EE$2,AA$2-1,$D7:$EE7)/12)*(1+XLOOKUP(AA$2,Assumptions!$C$94:$M$94,Assumptions!$C$97:$M$97)))</f>
        <v>19764.4125</v>
      </c>
      <c r="AB7" s="54">
        <f t="array" ref="AB7">IF(AB$2=1,Assumptions!$H7/12,(SUMIF($D$2:$EE$2,AB$2-1,$D7:$EE7)/12)*(1+XLOOKUP(AB$2,Assumptions!$C$94:$M$94,Assumptions!$C$97:$M$97)))</f>
        <v>20357.34488</v>
      </c>
      <c r="AC7" s="54">
        <f t="array" ref="AC7">IF(AC$2=1,Assumptions!$H7/12,(SUMIF($D$2:$EE$2,AC$2-1,$D7:$EE7)/12)*(1+XLOOKUP(AC$2,Assumptions!$C$94:$M$94,Assumptions!$C$97:$M$97)))</f>
        <v>20357.34488</v>
      </c>
      <c r="AD7" s="54">
        <f t="array" ref="AD7">IF(AD$2=1,Assumptions!$H7/12,(SUMIF($D$2:$EE$2,AD$2-1,$D7:$EE7)/12)*(1+XLOOKUP(AD$2,Assumptions!$C$94:$M$94,Assumptions!$C$97:$M$97)))</f>
        <v>20357.34488</v>
      </c>
      <c r="AE7" s="54">
        <f t="array" ref="AE7">IF(AE$2=1,Assumptions!$H7/12,(SUMIF($D$2:$EE$2,AE$2-1,$D7:$EE7)/12)*(1+XLOOKUP(AE$2,Assumptions!$C$94:$M$94,Assumptions!$C$97:$M$97)))</f>
        <v>20357.34488</v>
      </c>
      <c r="AF7" s="54">
        <f t="array" ref="AF7">IF(AF$2=1,Assumptions!$H7/12,(SUMIF($D$2:$EE$2,AF$2-1,$D7:$EE7)/12)*(1+XLOOKUP(AF$2,Assumptions!$C$94:$M$94,Assumptions!$C$97:$M$97)))</f>
        <v>20357.34488</v>
      </c>
      <c r="AG7" s="54">
        <f t="array" ref="AG7">IF(AG$2=1,Assumptions!$H7/12,(SUMIF($D$2:$EE$2,AG$2-1,$D7:$EE7)/12)*(1+XLOOKUP(AG$2,Assumptions!$C$94:$M$94,Assumptions!$C$97:$M$97)))</f>
        <v>20357.34488</v>
      </c>
      <c r="AH7" s="54">
        <f t="array" ref="AH7">IF(AH$2=1,Assumptions!$H7/12,(SUMIF($D$2:$EE$2,AH$2-1,$D7:$EE7)/12)*(1+XLOOKUP(AH$2,Assumptions!$C$94:$M$94,Assumptions!$C$97:$M$97)))</f>
        <v>20357.34488</v>
      </c>
      <c r="AI7" s="54">
        <f t="array" ref="AI7">IF(AI$2=1,Assumptions!$H7/12,(SUMIF($D$2:$EE$2,AI$2-1,$D7:$EE7)/12)*(1+XLOOKUP(AI$2,Assumptions!$C$94:$M$94,Assumptions!$C$97:$M$97)))</f>
        <v>20357.34488</v>
      </c>
      <c r="AJ7" s="54">
        <f t="array" ref="AJ7">IF(AJ$2=1,Assumptions!$H7/12,(SUMIF($D$2:$EE$2,AJ$2-1,$D7:$EE7)/12)*(1+XLOOKUP(AJ$2,Assumptions!$C$94:$M$94,Assumptions!$C$97:$M$97)))</f>
        <v>20357.34488</v>
      </c>
      <c r="AK7" s="54">
        <f t="array" ref="AK7">IF(AK$2=1,Assumptions!$H7/12,(SUMIF($D$2:$EE$2,AK$2-1,$D7:$EE7)/12)*(1+XLOOKUP(AK$2,Assumptions!$C$94:$M$94,Assumptions!$C$97:$M$97)))</f>
        <v>20357.34488</v>
      </c>
      <c r="AL7" s="54">
        <f t="array" ref="AL7">IF(AL$2=1,Assumptions!$H7/12,(SUMIF($D$2:$EE$2,AL$2-1,$D7:$EE7)/12)*(1+XLOOKUP(AL$2,Assumptions!$C$94:$M$94,Assumptions!$C$97:$M$97)))</f>
        <v>20357.34488</v>
      </c>
      <c r="AM7" s="54">
        <f t="array" ref="AM7">IF(AM$2=1,Assumptions!$H7/12,(SUMIF($D$2:$EE$2,AM$2-1,$D7:$EE7)/12)*(1+XLOOKUP(AM$2,Assumptions!$C$94:$M$94,Assumptions!$C$97:$M$97)))</f>
        <v>20357.34488</v>
      </c>
      <c r="AN7" s="54">
        <f t="array" ref="AN7">IF(AN$2=1,Assumptions!$H7/12,(SUMIF($D$2:$EE$2,AN$2-1,$D7:$EE7)/12)*(1+XLOOKUP(AN$2,Assumptions!$C$94:$M$94,Assumptions!$C$97:$M$97)))</f>
        <v>20968.06522</v>
      </c>
      <c r="AO7" s="54">
        <f t="array" ref="AO7">IF(AO$2=1,Assumptions!$H7/12,(SUMIF($D$2:$EE$2,AO$2-1,$D7:$EE7)/12)*(1+XLOOKUP(AO$2,Assumptions!$C$94:$M$94,Assumptions!$C$97:$M$97)))</f>
        <v>20968.06522</v>
      </c>
      <c r="AP7" s="54">
        <f t="array" ref="AP7">IF(AP$2=1,Assumptions!$H7/12,(SUMIF($D$2:$EE$2,AP$2-1,$D7:$EE7)/12)*(1+XLOOKUP(AP$2,Assumptions!$C$94:$M$94,Assumptions!$C$97:$M$97)))</f>
        <v>20968.06522</v>
      </c>
      <c r="AQ7" s="54">
        <f t="array" ref="AQ7">IF(AQ$2=1,Assumptions!$H7/12,(SUMIF($D$2:$EE$2,AQ$2-1,$D7:$EE7)/12)*(1+XLOOKUP(AQ$2,Assumptions!$C$94:$M$94,Assumptions!$C$97:$M$97)))</f>
        <v>20968.06522</v>
      </c>
      <c r="AR7" s="54">
        <f t="array" ref="AR7">IF(AR$2=1,Assumptions!$H7/12,(SUMIF($D$2:$EE$2,AR$2-1,$D7:$EE7)/12)*(1+XLOOKUP(AR$2,Assumptions!$C$94:$M$94,Assumptions!$C$97:$M$97)))</f>
        <v>20968.06522</v>
      </c>
      <c r="AS7" s="54">
        <f t="array" ref="AS7">IF(AS$2=1,Assumptions!$H7/12,(SUMIF($D$2:$EE$2,AS$2-1,$D7:$EE7)/12)*(1+XLOOKUP(AS$2,Assumptions!$C$94:$M$94,Assumptions!$C$97:$M$97)))</f>
        <v>20968.06522</v>
      </c>
      <c r="AT7" s="54">
        <f t="array" ref="AT7">IF(AT$2=1,Assumptions!$H7/12,(SUMIF($D$2:$EE$2,AT$2-1,$D7:$EE7)/12)*(1+XLOOKUP(AT$2,Assumptions!$C$94:$M$94,Assumptions!$C$97:$M$97)))</f>
        <v>20968.06522</v>
      </c>
      <c r="AU7" s="54">
        <f t="array" ref="AU7">IF(AU$2=1,Assumptions!$H7/12,(SUMIF($D$2:$EE$2,AU$2-1,$D7:$EE7)/12)*(1+XLOOKUP(AU$2,Assumptions!$C$94:$M$94,Assumptions!$C$97:$M$97)))</f>
        <v>20968.06522</v>
      </c>
      <c r="AV7" s="54">
        <f t="array" ref="AV7">IF(AV$2=1,Assumptions!$H7/12,(SUMIF($D$2:$EE$2,AV$2-1,$D7:$EE7)/12)*(1+XLOOKUP(AV$2,Assumptions!$C$94:$M$94,Assumptions!$C$97:$M$97)))</f>
        <v>20968.06522</v>
      </c>
      <c r="AW7" s="54">
        <f t="array" ref="AW7">IF(AW$2=1,Assumptions!$H7/12,(SUMIF($D$2:$EE$2,AW$2-1,$D7:$EE7)/12)*(1+XLOOKUP(AW$2,Assumptions!$C$94:$M$94,Assumptions!$C$97:$M$97)))</f>
        <v>20968.06522</v>
      </c>
      <c r="AX7" s="54">
        <f t="array" ref="AX7">IF(AX$2=1,Assumptions!$H7/12,(SUMIF($D$2:$EE$2,AX$2-1,$D7:$EE7)/12)*(1+XLOOKUP(AX$2,Assumptions!$C$94:$M$94,Assumptions!$C$97:$M$97)))</f>
        <v>20968.06522</v>
      </c>
      <c r="AY7" s="54">
        <f t="array" ref="AY7">IF(AY$2=1,Assumptions!$H7/12,(SUMIF($D$2:$EE$2,AY$2-1,$D7:$EE7)/12)*(1+XLOOKUP(AY$2,Assumptions!$C$94:$M$94,Assumptions!$C$97:$M$97)))</f>
        <v>20968.06522</v>
      </c>
      <c r="AZ7" s="54">
        <f t="array" ref="AZ7">IF(AZ$2=1,Assumptions!$H7/12,(SUMIF($D$2:$EE$2,AZ$2-1,$D7:$EE7)/12)*(1+XLOOKUP(AZ$2,Assumptions!$C$94:$M$94,Assumptions!$C$97:$M$97)))</f>
        <v>21597.10718</v>
      </c>
      <c r="BA7" s="54">
        <f t="array" ref="BA7">IF(BA$2=1,Assumptions!$H7/12,(SUMIF($D$2:$EE$2,BA$2-1,$D7:$EE7)/12)*(1+XLOOKUP(BA$2,Assumptions!$C$94:$M$94,Assumptions!$C$97:$M$97)))</f>
        <v>21597.10718</v>
      </c>
      <c r="BB7" s="54">
        <f t="array" ref="BB7">IF(BB$2=1,Assumptions!$H7/12,(SUMIF($D$2:$EE$2,BB$2-1,$D7:$EE7)/12)*(1+XLOOKUP(BB$2,Assumptions!$C$94:$M$94,Assumptions!$C$97:$M$97)))</f>
        <v>21597.10718</v>
      </c>
      <c r="BC7" s="54">
        <f t="array" ref="BC7">IF(BC$2=1,Assumptions!$H7/12,(SUMIF($D$2:$EE$2,BC$2-1,$D7:$EE7)/12)*(1+XLOOKUP(BC$2,Assumptions!$C$94:$M$94,Assumptions!$C$97:$M$97)))</f>
        <v>21597.10718</v>
      </c>
      <c r="BD7" s="54">
        <f t="array" ref="BD7">IF(BD$2=1,Assumptions!$H7/12,(SUMIF($D$2:$EE$2,BD$2-1,$D7:$EE7)/12)*(1+XLOOKUP(BD$2,Assumptions!$C$94:$M$94,Assumptions!$C$97:$M$97)))</f>
        <v>21597.10718</v>
      </c>
      <c r="BE7" s="54">
        <f t="array" ref="BE7">IF(BE$2=1,Assumptions!$H7/12,(SUMIF($D$2:$EE$2,BE$2-1,$D7:$EE7)/12)*(1+XLOOKUP(BE$2,Assumptions!$C$94:$M$94,Assumptions!$C$97:$M$97)))</f>
        <v>21597.10718</v>
      </c>
      <c r="BF7" s="54">
        <f t="array" ref="BF7">IF(BF$2=1,Assumptions!$H7/12,(SUMIF($D$2:$EE$2,BF$2-1,$D7:$EE7)/12)*(1+XLOOKUP(BF$2,Assumptions!$C$94:$M$94,Assumptions!$C$97:$M$97)))</f>
        <v>21597.10718</v>
      </c>
      <c r="BG7" s="54">
        <f t="array" ref="BG7">IF(BG$2=1,Assumptions!$H7/12,(SUMIF($D$2:$EE$2,BG$2-1,$D7:$EE7)/12)*(1+XLOOKUP(BG$2,Assumptions!$C$94:$M$94,Assumptions!$C$97:$M$97)))</f>
        <v>21597.10718</v>
      </c>
      <c r="BH7" s="54">
        <f t="array" ref="BH7">IF(BH$2=1,Assumptions!$H7/12,(SUMIF($D$2:$EE$2,BH$2-1,$D7:$EE7)/12)*(1+XLOOKUP(BH$2,Assumptions!$C$94:$M$94,Assumptions!$C$97:$M$97)))</f>
        <v>21597.10718</v>
      </c>
      <c r="BI7" s="54">
        <f t="array" ref="BI7">IF(BI$2=1,Assumptions!$H7/12,(SUMIF($D$2:$EE$2,BI$2-1,$D7:$EE7)/12)*(1+XLOOKUP(BI$2,Assumptions!$C$94:$M$94,Assumptions!$C$97:$M$97)))</f>
        <v>21597.10718</v>
      </c>
      <c r="BJ7" s="54">
        <f t="array" ref="BJ7">IF(BJ$2=1,Assumptions!$H7/12,(SUMIF($D$2:$EE$2,BJ$2-1,$D7:$EE7)/12)*(1+XLOOKUP(BJ$2,Assumptions!$C$94:$M$94,Assumptions!$C$97:$M$97)))</f>
        <v>21597.10718</v>
      </c>
      <c r="BK7" s="54">
        <f t="array" ref="BK7">IF(BK$2=1,Assumptions!$H7/12,(SUMIF($D$2:$EE$2,BK$2-1,$D7:$EE7)/12)*(1+XLOOKUP(BK$2,Assumptions!$C$94:$M$94,Assumptions!$C$97:$M$97)))</f>
        <v>21597.10718</v>
      </c>
      <c r="BL7" s="54">
        <f t="array" ref="BL7">IF(BL$2=1,Assumptions!$H7/12,(SUMIF($D$2:$EE$2,BL$2-1,$D7:$EE7)/12)*(1+XLOOKUP(BL$2,Assumptions!$C$94:$M$94,Assumptions!$C$97:$M$97)))</f>
        <v>22245.02039</v>
      </c>
      <c r="BM7" s="54">
        <f t="array" ref="BM7">IF(BM$2=1,Assumptions!$H7/12,(SUMIF($D$2:$EE$2,BM$2-1,$D7:$EE7)/12)*(1+XLOOKUP(BM$2,Assumptions!$C$94:$M$94,Assumptions!$C$97:$M$97)))</f>
        <v>22245.02039</v>
      </c>
      <c r="BN7" s="54">
        <f t="array" ref="BN7">IF(BN$2=1,Assumptions!$H7/12,(SUMIF($D$2:$EE$2,BN$2-1,$D7:$EE7)/12)*(1+XLOOKUP(BN$2,Assumptions!$C$94:$M$94,Assumptions!$C$97:$M$97)))</f>
        <v>22245.02039</v>
      </c>
      <c r="BO7" s="54">
        <f t="array" ref="BO7">IF(BO$2=1,Assumptions!$H7/12,(SUMIF($D$2:$EE$2,BO$2-1,$D7:$EE7)/12)*(1+XLOOKUP(BO$2,Assumptions!$C$94:$M$94,Assumptions!$C$97:$M$97)))</f>
        <v>22245.02039</v>
      </c>
      <c r="BP7" s="54">
        <f t="array" ref="BP7">IF(BP$2=1,Assumptions!$H7/12,(SUMIF($D$2:$EE$2,BP$2-1,$D7:$EE7)/12)*(1+XLOOKUP(BP$2,Assumptions!$C$94:$M$94,Assumptions!$C$97:$M$97)))</f>
        <v>22245.02039</v>
      </c>
      <c r="BQ7" s="54">
        <f t="array" ref="BQ7">IF(BQ$2=1,Assumptions!$H7/12,(SUMIF($D$2:$EE$2,BQ$2-1,$D7:$EE7)/12)*(1+XLOOKUP(BQ$2,Assumptions!$C$94:$M$94,Assumptions!$C$97:$M$97)))</f>
        <v>22245.02039</v>
      </c>
      <c r="BR7" s="54">
        <f t="array" ref="BR7">IF(BR$2=1,Assumptions!$H7/12,(SUMIF($D$2:$EE$2,BR$2-1,$D7:$EE7)/12)*(1+XLOOKUP(BR$2,Assumptions!$C$94:$M$94,Assumptions!$C$97:$M$97)))</f>
        <v>22245.02039</v>
      </c>
      <c r="BS7" s="54">
        <f t="array" ref="BS7">IF(BS$2=1,Assumptions!$H7/12,(SUMIF($D$2:$EE$2,BS$2-1,$D7:$EE7)/12)*(1+XLOOKUP(BS$2,Assumptions!$C$94:$M$94,Assumptions!$C$97:$M$97)))</f>
        <v>22245.02039</v>
      </c>
      <c r="BT7" s="54">
        <f t="array" ref="BT7">IF(BT$2=1,Assumptions!$H7/12,(SUMIF($D$2:$EE$2,BT$2-1,$D7:$EE7)/12)*(1+XLOOKUP(BT$2,Assumptions!$C$94:$M$94,Assumptions!$C$97:$M$97)))</f>
        <v>22245.02039</v>
      </c>
      <c r="BU7" s="54">
        <f t="array" ref="BU7">IF(BU$2=1,Assumptions!$H7/12,(SUMIF($D$2:$EE$2,BU$2-1,$D7:$EE7)/12)*(1+XLOOKUP(BU$2,Assumptions!$C$94:$M$94,Assumptions!$C$97:$M$97)))</f>
        <v>22245.02039</v>
      </c>
      <c r="BV7" s="54">
        <f t="array" ref="BV7">IF(BV$2=1,Assumptions!$H7/12,(SUMIF($D$2:$EE$2,BV$2-1,$D7:$EE7)/12)*(1+XLOOKUP(BV$2,Assumptions!$C$94:$M$94,Assumptions!$C$97:$M$97)))</f>
        <v>22245.02039</v>
      </c>
      <c r="BW7" s="54">
        <f t="array" ref="BW7">IF(BW$2=1,Assumptions!$H7/12,(SUMIF($D$2:$EE$2,BW$2-1,$D7:$EE7)/12)*(1+XLOOKUP(BW$2,Assumptions!$C$94:$M$94,Assumptions!$C$97:$M$97)))</f>
        <v>22245.02039</v>
      </c>
      <c r="BX7" s="54">
        <f t="array" ref="BX7">IF(BX$2=1,Assumptions!$H7/12,(SUMIF($D$2:$EE$2,BX$2-1,$D7:$EE7)/12)*(1+XLOOKUP(BX$2,Assumptions!$C$94:$M$94,Assumptions!$C$97:$M$97)))</f>
        <v>22912.37101</v>
      </c>
      <c r="BY7" s="54">
        <f t="array" ref="BY7">IF(BY$2=1,Assumptions!$H7/12,(SUMIF($D$2:$EE$2,BY$2-1,$D7:$EE7)/12)*(1+XLOOKUP(BY$2,Assumptions!$C$94:$M$94,Assumptions!$C$97:$M$97)))</f>
        <v>22912.37101</v>
      </c>
      <c r="BZ7" s="54">
        <f t="array" ref="BZ7">IF(BZ$2=1,Assumptions!$H7/12,(SUMIF($D$2:$EE$2,BZ$2-1,$D7:$EE7)/12)*(1+XLOOKUP(BZ$2,Assumptions!$C$94:$M$94,Assumptions!$C$97:$M$97)))</f>
        <v>22912.37101</v>
      </c>
      <c r="CA7" s="54">
        <f t="array" ref="CA7">IF(CA$2=1,Assumptions!$H7/12,(SUMIF($D$2:$EE$2,CA$2-1,$D7:$EE7)/12)*(1+XLOOKUP(CA$2,Assumptions!$C$94:$M$94,Assumptions!$C$97:$M$97)))</f>
        <v>22912.37101</v>
      </c>
      <c r="CB7" s="54">
        <f t="array" ref="CB7">IF(CB$2=1,Assumptions!$H7/12,(SUMIF($D$2:$EE$2,CB$2-1,$D7:$EE7)/12)*(1+XLOOKUP(CB$2,Assumptions!$C$94:$M$94,Assumptions!$C$97:$M$97)))</f>
        <v>22912.37101</v>
      </c>
      <c r="CC7" s="54">
        <f t="array" ref="CC7">IF(CC$2=1,Assumptions!$H7/12,(SUMIF($D$2:$EE$2,CC$2-1,$D7:$EE7)/12)*(1+XLOOKUP(CC$2,Assumptions!$C$94:$M$94,Assumptions!$C$97:$M$97)))</f>
        <v>22912.37101</v>
      </c>
      <c r="CD7" s="54">
        <f t="array" ref="CD7">IF(CD$2=1,Assumptions!$H7/12,(SUMIF($D$2:$EE$2,CD$2-1,$D7:$EE7)/12)*(1+XLOOKUP(CD$2,Assumptions!$C$94:$M$94,Assumptions!$C$97:$M$97)))</f>
        <v>22912.37101</v>
      </c>
      <c r="CE7" s="54">
        <f t="array" ref="CE7">IF(CE$2=1,Assumptions!$H7/12,(SUMIF($D$2:$EE$2,CE$2-1,$D7:$EE7)/12)*(1+XLOOKUP(CE$2,Assumptions!$C$94:$M$94,Assumptions!$C$97:$M$97)))</f>
        <v>22912.37101</v>
      </c>
      <c r="CF7" s="54">
        <f t="array" ref="CF7">IF(CF$2=1,Assumptions!$H7/12,(SUMIF($D$2:$EE$2,CF$2-1,$D7:$EE7)/12)*(1+XLOOKUP(CF$2,Assumptions!$C$94:$M$94,Assumptions!$C$97:$M$97)))</f>
        <v>22912.37101</v>
      </c>
      <c r="CG7" s="54">
        <f t="array" ref="CG7">IF(CG$2=1,Assumptions!$H7/12,(SUMIF($D$2:$EE$2,CG$2-1,$D7:$EE7)/12)*(1+XLOOKUP(CG$2,Assumptions!$C$94:$M$94,Assumptions!$C$97:$M$97)))</f>
        <v>22912.37101</v>
      </c>
      <c r="CH7" s="54">
        <f t="array" ref="CH7">IF(CH$2=1,Assumptions!$H7/12,(SUMIF($D$2:$EE$2,CH$2-1,$D7:$EE7)/12)*(1+XLOOKUP(CH$2,Assumptions!$C$94:$M$94,Assumptions!$C$97:$M$97)))</f>
        <v>22912.37101</v>
      </c>
      <c r="CI7" s="54">
        <f t="array" ref="CI7">IF(CI$2=1,Assumptions!$H7/12,(SUMIF($D$2:$EE$2,CI$2-1,$D7:$EE7)/12)*(1+XLOOKUP(CI$2,Assumptions!$C$94:$M$94,Assumptions!$C$97:$M$97)))</f>
        <v>22912.37101</v>
      </c>
      <c r="CJ7" s="54">
        <f t="array" ref="CJ7">IF(CJ$2=1,Assumptions!$H7/12,(SUMIF($D$2:$EE$2,CJ$2-1,$D7:$EE7)/12)*(1+XLOOKUP(CJ$2,Assumptions!$C$94:$M$94,Assumptions!$C$97:$M$97)))</f>
        <v>23599.74214</v>
      </c>
      <c r="CK7" s="54">
        <f t="array" ref="CK7">IF(CK$2=1,Assumptions!$H7/12,(SUMIF($D$2:$EE$2,CK$2-1,$D7:$EE7)/12)*(1+XLOOKUP(CK$2,Assumptions!$C$94:$M$94,Assumptions!$C$97:$M$97)))</f>
        <v>23599.74214</v>
      </c>
      <c r="CL7" s="54">
        <f t="array" ref="CL7">IF(CL$2=1,Assumptions!$H7/12,(SUMIF($D$2:$EE$2,CL$2-1,$D7:$EE7)/12)*(1+XLOOKUP(CL$2,Assumptions!$C$94:$M$94,Assumptions!$C$97:$M$97)))</f>
        <v>23599.74214</v>
      </c>
      <c r="CM7" s="54">
        <f t="array" ref="CM7">IF(CM$2=1,Assumptions!$H7/12,(SUMIF($D$2:$EE$2,CM$2-1,$D7:$EE7)/12)*(1+XLOOKUP(CM$2,Assumptions!$C$94:$M$94,Assumptions!$C$97:$M$97)))</f>
        <v>23599.74214</v>
      </c>
      <c r="CN7" s="54">
        <f t="array" ref="CN7">IF(CN$2=1,Assumptions!$H7/12,(SUMIF($D$2:$EE$2,CN$2-1,$D7:$EE7)/12)*(1+XLOOKUP(CN$2,Assumptions!$C$94:$M$94,Assumptions!$C$97:$M$97)))</f>
        <v>23599.74214</v>
      </c>
      <c r="CO7" s="54">
        <f t="array" ref="CO7">IF(CO$2=1,Assumptions!$H7/12,(SUMIF($D$2:$EE$2,CO$2-1,$D7:$EE7)/12)*(1+XLOOKUP(CO$2,Assumptions!$C$94:$M$94,Assumptions!$C$97:$M$97)))</f>
        <v>23599.74214</v>
      </c>
      <c r="CP7" s="54">
        <f t="array" ref="CP7">IF(CP$2=1,Assumptions!$H7/12,(SUMIF($D$2:$EE$2,CP$2-1,$D7:$EE7)/12)*(1+XLOOKUP(CP$2,Assumptions!$C$94:$M$94,Assumptions!$C$97:$M$97)))</f>
        <v>23599.74214</v>
      </c>
      <c r="CQ7" s="54">
        <f t="array" ref="CQ7">IF(CQ$2=1,Assumptions!$H7/12,(SUMIF($D$2:$EE$2,CQ$2-1,$D7:$EE7)/12)*(1+XLOOKUP(CQ$2,Assumptions!$C$94:$M$94,Assumptions!$C$97:$M$97)))</f>
        <v>23599.74214</v>
      </c>
      <c r="CR7" s="54">
        <f t="array" ref="CR7">IF(CR$2=1,Assumptions!$H7/12,(SUMIF($D$2:$EE$2,CR$2-1,$D7:$EE7)/12)*(1+XLOOKUP(CR$2,Assumptions!$C$94:$M$94,Assumptions!$C$97:$M$97)))</f>
        <v>23599.74214</v>
      </c>
      <c r="CS7" s="54">
        <f t="array" ref="CS7">IF(CS$2=1,Assumptions!$H7/12,(SUMIF($D$2:$EE$2,CS$2-1,$D7:$EE7)/12)*(1+XLOOKUP(CS$2,Assumptions!$C$94:$M$94,Assumptions!$C$97:$M$97)))</f>
        <v>23599.74214</v>
      </c>
      <c r="CT7" s="54">
        <f t="array" ref="CT7">IF(CT$2=1,Assumptions!$H7/12,(SUMIF($D$2:$EE$2,CT$2-1,$D7:$EE7)/12)*(1+XLOOKUP(CT$2,Assumptions!$C$94:$M$94,Assumptions!$C$97:$M$97)))</f>
        <v>23599.74214</v>
      </c>
      <c r="CU7" s="54">
        <f t="array" ref="CU7">IF(CU$2=1,Assumptions!$H7/12,(SUMIF($D$2:$EE$2,CU$2-1,$D7:$EE7)/12)*(1+XLOOKUP(CU$2,Assumptions!$C$94:$M$94,Assumptions!$C$97:$M$97)))</f>
        <v>23599.74214</v>
      </c>
      <c r="CV7" s="54">
        <f t="array" ref="CV7">IF(CV$2=1,Assumptions!$H7/12,(SUMIF($D$2:$EE$2,CV$2-1,$D7:$EE7)/12)*(1+XLOOKUP(CV$2,Assumptions!$C$94:$M$94,Assumptions!$C$97:$M$97)))</f>
        <v>24307.7344</v>
      </c>
      <c r="CW7" s="54">
        <f t="array" ref="CW7">IF(CW$2=1,Assumptions!$H7/12,(SUMIF($D$2:$EE$2,CW$2-1,$D7:$EE7)/12)*(1+XLOOKUP(CW$2,Assumptions!$C$94:$M$94,Assumptions!$C$97:$M$97)))</f>
        <v>24307.7344</v>
      </c>
      <c r="CX7" s="54">
        <f t="array" ref="CX7">IF(CX$2=1,Assumptions!$H7/12,(SUMIF($D$2:$EE$2,CX$2-1,$D7:$EE7)/12)*(1+XLOOKUP(CX$2,Assumptions!$C$94:$M$94,Assumptions!$C$97:$M$97)))</f>
        <v>24307.7344</v>
      </c>
      <c r="CY7" s="54">
        <f t="array" ref="CY7">IF(CY$2=1,Assumptions!$H7/12,(SUMIF($D$2:$EE$2,CY$2-1,$D7:$EE7)/12)*(1+XLOOKUP(CY$2,Assumptions!$C$94:$M$94,Assumptions!$C$97:$M$97)))</f>
        <v>24307.7344</v>
      </c>
      <c r="CZ7" s="54">
        <f t="array" ref="CZ7">IF(CZ$2=1,Assumptions!$H7/12,(SUMIF($D$2:$EE$2,CZ$2-1,$D7:$EE7)/12)*(1+XLOOKUP(CZ$2,Assumptions!$C$94:$M$94,Assumptions!$C$97:$M$97)))</f>
        <v>24307.7344</v>
      </c>
      <c r="DA7" s="54">
        <f t="array" ref="DA7">IF(DA$2=1,Assumptions!$H7/12,(SUMIF($D$2:$EE$2,DA$2-1,$D7:$EE7)/12)*(1+XLOOKUP(DA$2,Assumptions!$C$94:$M$94,Assumptions!$C$97:$M$97)))</f>
        <v>24307.7344</v>
      </c>
      <c r="DB7" s="54">
        <f t="array" ref="DB7">IF(DB$2=1,Assumptions!$H7/12,(SUMIF($D$2:$EE$2,DB$2-1,$D7:$EE7)/12)*(1+XLOOKUP(DB$2,Assumptions!$C$94:$M$94,Assumptions!$C$97:$M$97)))</f>
        <v>24307.7344</v>
      </c>
      <c r="DC7" s="54">
        <f t="array" ref="DC7">IF(DC$2=1,Assumptions!$H7/12,(SUMIF($D$2:$EE$2,DC$2-1,$D7:$EE7)/12)*(1+XLOOKUP(DC$2,Assumptions!$C$94:$M$94,Assumptions!$C$97:$M$97)))</f>
        <v>24307.7344</v>
      </c>
      <c r="DD7" s="54">
        <f t="array" ref="DD7">IF(DD$2=1,Assumptions!$H7/12,(SUMIF($D$2:$EE$2,DD$2-1,$D7:$EE7)/12)*(1+XLOOKUP(DD$2,Assumptions!$C$94:$M$94,Assumptions!$C$97:$M$97)))</f>
        <v>24307.7344</v>
      </c>
      <c r="DE7" s="54">
        <f t="array" ref="DE7">IF(DE$2=1,Assumptions!$H7/12,(SUMIF($D$2:$EE$2,DE$2-1,$D7:$EE7)/12)*(1+XLOOKUP(DE$2,Assumptions!$C$94:$M$94,Assumptions!$C$97:$M$97)))</f>
        <v>24307.7344</v>
      </c>
      <c r="DF7" s="54">
        <f t="array" ref="DF7">IF(DF$2=1,Assumptions!$H7/12,(SUMIF($D$2:$EE$2,DF$2-1,$D7:$EE7)/12)*(1+XLOOKUP(DF$2,Assumptions!$C$94:$M$94,Assumptions!$C$97:$M$97)))</f>
        <v>24307.7344</v>
      </c>
      <c r="DG7" s="54">
        <f t="array" ref="DG7">IF(DG$2=1,Assumptions!$H7/12,(SUMIF($D$2:$EE$2,DG$2-1,$D7:$EE7)/12)*(1+XLOOKUP(DG$2,Assumptions!$C$94:$M$94,Assumptions!$C$97:$M$97)))</f>
        <v>24307.7344</v>
      </c>
      <c r="DH7" s="54">
        <f t="array" ref="DH7">IF(DH$2=1,Assumptions!$H7/12,(SUMIF($D$2:$EE$2,DH$2-1,$D7:$EE7)/12)*(1+XLOOKUP(DH$2,Assumptions!$C$94:$M$94,Assumptions!$C$97:$M$97)))</f>
        <v>25036.96643</v>
      </c>
      <c r="DI7" s="54">
        <f t="array" ref="DI7">IF(DI$2=1,Assumptions!$H7/12,(SUMIF($D$2:$EE$2,DI$2-1,$D7:$EE7)/12)*(1+XLOOKUP(DI$2,Assumptions!$C$94:$M$94,Assumptions!$C$97:$M$97)))</f>
        <v>25036.96643</v>
      </c>
      <c r="DJ7" s="54">
        <f t="array" ref="DJ7">IF(DJ$2=1,Assumptions!$H7/12,(SUMIF($D$2:$EE$2,DJ$2-1,$D7:$EE7)/12)*(1+XLOOKUP(DJ$2,Assumptions!$C$94:$M$94,Assumptions!$C$97:$M$97)))</f>
        <v>25036.96643</v>
      </c>
      <c r="DK7" s="54">
        <f t="array" ref="DK7">IF(DK$2=1,Assumptions!$H7/12,(SUMIF($D$2:$EE$2,DK$2-1,$D7:$EE7)/12)*(1+XLOOKUP(DK$2,Assumptions!$C$94:$M$94,Assumptions!$C$97:$M$97)))</f>
        <v>25036.96643</v>
      </c>
      <c r="DL7" s="54">
        <f t="array" ref="DL7">IF(DL$2=1,Assumptions!$H7/12,(SUMIF($D$2:$EE$2,DL$2-1,$D7:$EE7)/12)*(1+XLOOKUP(DL$2,Assumptions!$C$94:$M$94,Assumptions!$C$97:$M$97)))</f>
        <v>25036.96643</v>
      </c>
      <c r="DM7" s="54">
        <f t="array" ref="DM7">IF(DM$2=1,Assumptions!$H7/12,(SUMIF($D$2:$EE$2,DM$2-1,$D7:$EE7)/12)*(1+XLOOKUP(DM$2,Assumptions!$C$94:$M$94,Assumptions!$C$97:$M$97)))</f>
        <v>25036.96643</v>
      </c>
      <c r="DN7" s="54">
        <f t="array" ref="DN7">IF(DN$2=1,Assumptions!$H7/12,(SUMIF($D$2:$EE$2,DN$2-1,$D7:$EE7)/12)*(1+XLOOKUP(DN$2,Assumptions!$C$94:$M$94,Assumptions!$C$97:$M$97)))</f>
        <v>25036.96643</v>
      </c>
      <c r="DO7" s="54">
        <f t="array" ref="DO7">IF(DO$2=1,Assumptions!$H7/12,(SUMIF($D$2:$EE$2,DO$2-1,$D7:$EE7)/12)*(1+XLOOKUP(DO$2,Assumptions!$C$94:$M$94,Assumptions!$C$97:$M$97)))</f>
        <v>25036.96643</v>
      </c>
      <c r="DP7" s="54">
        <f t="array" ref="DP7">IF(DP$2=1,Assumptions!$H7/12,(SUMIF($D$2:$EE$2,DP$2-1,$D7:$EE7)/12)*(1+XLOOKUP(DP$2,Assumptions!$C$94:$M$94,Assumptions!$C$97:$M$97)))</f>
        <v>25036.96643</v>
      </c>
      <c r="DQ7" s="54">
        <f t="array" ref="DQ7">IF(DQ$2=1,Assumptions!$H7/12,(SUMIF($D$2:$EE$2,DQ$2-1,$D7:$EE7)/12)*(1+XLOOKUP(DQ$2,Assumptions!$C$94:$M$94,Assumptions!$C$97:$M$97)))</f>
        <v>25036.96643</v>
      </c>
      <c r="DR7" s="54">
        <f t="array" ref="DR7">IF(DR$2=1,Assumptions!$H7/12,(SUMIF($D$2:$EE$2,DR$2-1,$D7:$EE7)/12)*(1+XLOOKUP(DR$2,Assumptions!$C$94:$M$94,Assumptions!$C$97:$M$97)))</f>
        <v>25036.96643</v>
      </c>
      <c r="DS7" s="54">
        <f t="array" ref="DS7">IF(DS$2=1,Assumptions!$H7/12,(SUMIF($D$2:$EE$2,DS$2-1,$D7:$EE7)/12)*(1+XLOOKUP(DS$2,Assumptions!$C$94:$M$94,Assumptions!$C$97:$M$97)))</f>
        <v>25036.96643</v>
      </c>
      <c r="DT7" s="54">
        <f t="array" ref="DT7">IF(DT$2=1,Assumptions!$H7/12,(SUMIF($D$2:$EE$2,DT$2-1,$D7:$EE7)/12)*(1+XLOOKUP(DT$2,Assumptions!$C$94:$M$94,Assumptions!$C$97:$M$97)))</f>
        <v>25788.07542</v>
      </c>
      <c r="DU7" s="54">
        <f t="array" ref="DU7">IF(DU$2=1,Assumptions!$H7/12,(SUMIF($D$2:$EE$2,DU$2-1,$D7:$EE7)/12)*(1+XLOOKUP(DU$2,Assumptions!$C$94:$M$94,Assumptions!$C$97:$M$97)))</f>
        <v>25788.07542</v>
      </c>
      <c r="DV7" s="54">
        <f t="array" ref="DV7">IF(DV$2=1,Assumptions!$H7/12,(SUMIF($D$2:$EE$2,DV$2-1,$D7:$EE7)/12)*(1+XLOOKUP(DV$2,Assumptions!$C$94:$M$94,Assumptions!$C$97:$M$97)))</f>
        <v>25788.07542</v>
      </c>
      <c r="DW7" s="54">
        <f t="array" ref="DW7">IF(DW$2=1,Assumptions!$H7/12,(SUMIF($D$2:$EE$2,DW$2-1,$D7:$EE7)/12)*(1+XLOOKUP(DW$2,Assumptions!$C$94:$M$94,Assumptions!$C$97:$M$97)))</f>
        <v>25788.07542</v>
      </c>
      <c r="DX7" s="54">
        <f t="array" ref="DX7">IF(DX$2=1,Assumptions!$H7/12,(SUMIF($D$2:$EE$2,DX$2-1,$D7:$EE7)/12)*(1+XLOOKUP(DX$2,Assumptions!$C$94:$M$94,Assumptions!$C$97:$M$97)))</f>
        <v>25788.07542</v>
      </c>
      <c r="DY7" s="54">
        <f t="array" ref="DY7">IF(DY$2=1,Assumptions!$H7/12,(SUMIF($D$2:$EE$2,DY$2-1,$D7:$EE7)/12)*(1+XLOOKUP(DY$2,Assumptions!$C$94:$M$94,Assumptions!$C$97:$M$97)))</f>
        <v>25788.07542</v>
      </c>
      <c r="DZ7" s="54">
        <f t="array" ref="DZ7">IF(DZ$2=1,Assumptions!$H7/12,(SUMIF($D$2:$EE$2,DZ$2-1,$D7:$EE7)/12)*(1+XLOOKUP(DZ$2,Assumptions!$C$94:$M$94,Assumptions!$C$97:$M$97)))</f>
        <v>25788.07542</v>
      </c>
      <c r="EA7" s="54">
        <f t="array" ref="EA7">IF(EA$2=1,Assumptions!$H7/12,(SUMIF($D$2:$EE$2,EA$2-1,$D7:$EE7)/12)*(1+XLOOKUP(EA$2,Assumptions!$C$94:$M$94,Assumptions!$C$97:$M$97)))</f>
        <v>25788.07542</v>
      </c>
      <c r="EB7" s="54">
        <f t="array" ref="EB7">IF(EB$2=1,Assumptions!$H7/12,(SUMIF($D$2:$EE$2,EB$2-1,$D7:$EE7)/12)*(1+XLOOKUP(EB$2,Assumptions!$C$94:$M$94,Assumptions!$C$97:$M$97)))</f>
        <v>25788.07542</v>
      </c>
      <c r="EC7" s="54">
        <f t="array" ref="EC7">IF(EC$2=1,Assumptions!$H7/12,(SUMIF($D$2:$EE$2,EC$2-1,$D7:$EE7)/12)*(1+XLOOKUP(EC$2,Assumptions!$C$94:$M$94,Assumptions!$C$97:$M$97)))</f>
        <v>25788.07542</v>
      </c>
      <c r="ED7" s="54">
        <f t="array" ref="ED7">IF(ED$2=1,Assumptions!$H7/12,(SUMIF($D$2:$EE$2,ED$2-1,$D7:$EE7)/12)*(1+XLOOKUP(ED$2,Assumptions!$C$94:$M$94,Assumptions!$C$97:$M$97)))</f>
        <v>25788.07542</v>
      </c>
      <c r="EE7" s="54">
        <f t="array" ref="EE7">IF(EE$2=1,Assumptions!$H7/12,(SUMIF($D$2:$EE$2,EE$2-1,$D7:$EE7)/12)*(1+XLOOKUP(EE$2,Assumptions!$C$94:$M$94,Assumptions!$C$97:$M$97)))</f>
        <v>25788.07542</v>
      </c>
    </row>
    <row r="8" ht="15.75" customHeight="1">
      <c r="A8" s="1"/>
      <c r="B8" s="1"/>
      <c r="C8" s="1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</row>
    <row r="9" ht="15.75" customHeight="1">
      <c r="A9" s="1"/>
      <c r="B9" s="1"/>
      <c r="C9" s="1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</row>
    <row r="10" ht="15.75" customHeight="1">
      <c r="A10" s="1"/>
      <c r="B10" s="1"/>
      <c r="C10" s="1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</row>
    <row r="11" ht="15.75" customHeight="1">
      <c r="A11" s="1"/>
      <c r="B11" s="1"/>
      <c r="C11" s="1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</row>
    <row r="12" ht="15.75" customHeight="1">
      <c r="A12" s="1"/>
      <c r="B12" s="26"/>
      <c r="C12" s="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</row>
    <row r="13" ht="15.75" customHeight="1">
      <c r="A13" s="1"/>
      <c r="B13" s="110"/>
      <c r="C13" s="47" t="s">
        <v>194</v>
      </c>
      <c r="D13" s="213">
        <f t="shared" ref="D13:EE13" si="3">SUM(D5:D12)</f>
        <v>53048.037</v>
      </c>
      <c r="E13" s="213">
        <f t="shared" si="3"/>
        <v>53048.037</v>
      </c>
      <c r="F13" s="213">
        <f t="shared" si="3"/>
        <v>53048.037</v>
      </c>
      <c r="G13" s="213">
        <f t="shared" si="3"/>
        <v>53048.037</v>
      </c>
      <c r="H13" s="213">
        <f t="shared" si="3"/>
        <v>53048.037</v>
      </c>
      <c r="I13" s="213">
        <f t="shared" si="3"/>
        <v>53048.037</v>
      </c>
      <c r="J13" s="213">
        <f t="shared" si="3"/>
        <v>53048.037</v>
      </c>
      <c r="K13" s="213">
        <f t="shared" si="3"/>
        <v>53048.037</v>
      </c>
      <c r="L13" s="213">
        <f t="shared" si="3"/>
        <v>53048.037</v>
      </c>
      <c r="M13" s="213">
        <f t="shared" si="3"/>
        <v>53048.037</v>
      </c>
      <c r="N13" s="213">
        <f t="shared" si="3"/>
        <v>53048.037</v>
      </c>
      <c r="O13" s="213">
        <f t="shared" si="3"/>
        <v>53048.037</v>
      </c>
      <c r="P13" s="213">
        <f t="shared" si="3"/>
        <v>54639.47811</v>
      </c>
      <c r="Q13" s="213">
        <f t="shared" si="3"/>
        <v>54639.47811</v>
      </c>
      <c r="R13" s="213">
        <f t="shared" si="3"/>
        <v>54639.47811</v>
      </c>
      <c r="S13" s="213">
        <f t="shared" si="3"/>
        <v>54639.47811</v>
      </c>
      <c r="T13" s="213">
        <f t="shared" si="3"/>
        <v>54639.47811</v>
      </c>
      <c r="U13" s="213">
        <f t="shared" si="3"/>
        <v>54639.47811</v>
      </c>
      <c r="V13" s="213">
        <f t="shared" si="3"/>
        <v>54639.47811</v>
      </c>
      <c r="W13" s="213">
        <f t="shared" si="3"/>
        <v>54639.47811</v>
      </c>
      <c r="X13" s="213">
        <f t="shared" si="3"/>
        <v>54639.47811</v>
      </c>
      <c r="Y13" s="213">
        <f t="shared" si="3"/>
        <v>54639.47811</v>
      </c>
      <c r="Z13" s="213">
        <f t="shared" si="3"/>
        <v>54639.47811</v>
      </c>
      <c r="AA13" s="213">
        <f t="shared" si="3"/>
        <v>54639.47811</v>
      </c>
      <c r="AB13" s="213">
        <f t="shared" si="3"/>
        <v>56278.66245</v>
      </c>
      <c r="AC13" s="213">
        <f t="shared" si="3"/>
        <v>56278.66245</v>
      </c>
      <c r="AD13" s="213">
        <f t="shared" si="3"/>
        <v>56278.66245</v>
      </c>
      <c r="AE13" s="213">
        <f t="shared" si="3"/>
        <v>56278.66245</v>
      </c>
      <c r="AF13" s="213">
        <f t="shared" si="3"/>
        <v>56278.66245</v>
      </c>
      <c r="AG13" s="213">
        <f t="shared" si="3"/>
        <v>56278.66245</v>
      </c>
      <c r="AH13" s="213">
        <f t="shared" si="3"/>
        <v>56278.66245</v>
      </c>
      <c r="AI13" s="213">
        <f t="shared" si="3"/>
        <v>56278.66245</v>
      </c>
      <c r="AJ13" s="213">
        <f t="shared" si="3"/>
        <v>56278.66245</v>
      </c>
      <c r="AK13" s="213">
        <f t="shared" si="3"/>
        <v>56278.66245</v>
      </c>
      <c r="AL13" s="213">
        <f t="shared" si="3"/>
        <v>56278.66245</v>
      </c>
      <c r="AM13" s="213">
        <f t="shared" si="3"/>
        <v>56278.66245</v>
      </c>
      <c r="AN13" s="213">
        <f t="shared" si="3"/>
        <v>57967.02233</v>
      </c>
      <c r="AO13" s="213">
        <f t="shared" si="3"/>
        <v>57967.02233</v>
      </c>
      <c r="AP13" s="213">
        <f t="shared" si="3"/>
        <v>57967.02233</v>
      </c>
      <c r="AQ13" s="213">
        <f t="shared" si="3"/>
        <v>57967.02233</v>
      </c>
      <c r="AR13" s="213">
        <f t="shared" si="3"/>
        <v>57967.02233</v>
      </c>
      <c r="AS13" s="213">
        <f t="shared" si="3"/>
        <v>57967.02233</v>
      </c>
      <c r="AT13" s="213">
        <f t="shared" si="3"/>
        <v>57967.02233</v>
      </c>
      <c r="AU13" s="213">
        <f t="shared" si="3"/>
        <v>57967.02233</v>
      </c>
      <c r="AV13" s="213">
        <f t="shared" si="3"/>
        <v>57967.02233</v>
      </c>
      <c r="AW13" s="213">
        <f t="shared" si="3"/>
        <v>57967.02233</v>
      </c>
      <c r="AX13" s="213">
        <f t="shared" si="3"/>
        <v>57967.02233</v>
      </c>
      <c r="AY13" s="213">
        <f t="shared" si="3"/>
        <v>57967.02233</v>
      </c>
      <c r="AZ13" s="213">
        <f t="shared" si="3"/>
        <v>59706.033</v>
      </c>
      <c r="BA13" s="213">
        <f t="shared" si="3"/>
        <v>59706.033</v>
      </c>
      <c r="BB13" s="213">
        <f t="shared" si="3"/>
        <v>59706.033</v>
      </c>
      <c r="BC13" s="213">
        <f t="shared" si="3"/>
        <v>59706.033</v>
      </c>
      <c r="BD13" s="213">
        <f t="shared" si="3"/>
        <v>59706.033</v>
      </c>
      <c r="BE13" s="213">
        <f t="shared" si="3"/>
        <v>59706.033</v>
      </c>
      <c r="BF13" s="213">
        <f t="shared" si="3"/>
        <v>59706.033</v>
      </c>
      <c r="BG13" s="213">
        <f t="shared" si="3"/>
        <v>59706.033</v>
      </c>
      <c r="BH13" s="213">
        <f t="shared" si="3"/>
        <v>59706.033</v>
      </c>
      <c r="BI13" s="213">
        <f t="shared" si="3"/>
        <v>59706.033</v>
      </c>
      <c r="BJ13" s="213">
        <f t="shared" si="3"/>
        <v>59706.033</v>
      </c>
      <c r="BK13" s="213">
        <f t="shared" si="3"/>
        <v>59706.033</v>
      </c>
      <c r="BL13" s="213">
        <f t="shared" si="3"/>
        <v>61497.21399</v>
      </c>
      <c r="BM13" s="213">
        <f t="shared" si="3"/>
        <v>61497.21399</v>
      </c>
      <c r="BN13" s="213">
        <f t="shared" si="3"/>
        <v>61497.21399</v>
      </c>
      <c r="BO13" s="213">
        <f t="shared" si="3"/>
        <v>61497.21399</v>
      </c>
      <c r="BP13" s="213">
        <f t="shared" si="3"/>
        <v>61497.21399</v>
      </c>
      <c r="BQ13" s="213">
        <f t="shared" si="3"/>
        <v>61497.21399</v>
      </c>
      <c r="BR13" s="213">
        <f t="shared" si="3"/>
        <v>61497.21399</v>
      </c>
      <c r="BS13" s="213">
        <f t="shared" si="3"/>
        <v>61497.21399</v>
      </c>
      <c r="BT13" s="213">
        <f t="shared" si="3"/>
        <v>61497.21399</v>
      </c>
      <c r="BU13" s="213">
        <f t="shared" si="3"/>
        <v>61497.21399</v>
      </c>
      <c r="BV13" s="213">
        <f t="shared" si="3"/>
        <v>61497.21399</v>
      </c>
      <c r="BW13" s="213">
        <f t="shared" si="3"/>
        <v>61497.21399</v>
      </c>
      <c r="BX13" s="213">
        <f t="shared" si="3"/>
        <v>63342.13041</v>
      </c>
      <c r="BY13" s="213">
        <f t="shared" si="3"/>
        <v>63342.13041</v>
      </c>
      <c r="BZ13" s="213">
        <f t="shared" si="3"/>
        <v>63342.13041</v>
      </c>
      <c r="CA13" s="213">
        <f t="shared" si="3"/>
        <v>63342.13041</v>
      </c>
      <c r="CB13" s="213">
        <f t="shared" si="3"/>
        <v>63342.13041</v>
      </c>
      <c r="CC13" s="213">
        <f t="shared" si="3"/>
        <v>63342.13041</v>
      </c>
      <c r="CD13" s="213">
        <f t="shared" si="3"/>
        <v>63342.13041</v>
      </c>
      <c r="CE13" s="213">
        <f t="shared" si="3"/>
        <v>63342.13041</v>
      </c>
      <c r="CF13" s="213">
        <f t="shared" si="3"/>
        <v>63342.13041</v>
      </c>
      <c r="CG13" s="213">
        <f t="shared" si="3"/>
        <v>63342.13041</v>
      </c>
      <c r="CH13" s="213">
        <f t="shared" si="3"/>
        <v>63342.13041</v>
      </c>
      <c r="CI13" s="213">
        <f t="shared" si="3"/>
        <v>63342.13041</v>
      </c>
      <c r="CJ13" s="213">
        <f t="shared" si="3"/>
        <v>65242.39432</v>
      </c>
      <c r="CK13" s="213">
        <f t="shared" si="3"/>
        <v>65242.39432</v>
      </c>
      <c r="CL13" s="213">
        <f t="shared" si="3"/>
        <v>65242.39432</v>
      </c>
      <c r="CM13" s="213">
        <f t="shared" si="3"/>
        <v>65242.39432</v>
      </c>
      <c r="CN13" s="213">
        <f t="shared" si="3"/>
        <v>65242.39432</v>
      </c>
      <c r="CO13" s="213">
        <f t="shared" si="3"/>
        <v>65242.39432</v>
      </c>
      <c r="CP13" s="213">
        <f t="shared" si="3"/>
        <v>65242.39432</v>
      </c>
      <c r="CQ13" s="213">
        <f t="shared" si="3"/>
        <v>65242.39432</v>
      </c>
      <c r="CR13" s="213">
        <f t="shared" si="3"/>
        <v>65242.39432</v>
      </c>
      <c r="CS13" s="213">
        <f t="shared" si="3"/>
        <v>65242.39432</v>
      </c>
      <c r="CT13" s="213">
        <f t="shared" si="3"/>
        <v>65242.39432</v>
      </c>
      <c r="CU13" s="213">
        <f t="shared" si="3"/>
        <v>65242.39432</v>
      </c>
      <c r="CV13" s="213">
        <f t="shared" si="3"/>
        <v>67199.66615</v>
      </c>
      <c r="CW13" s="213">
        <f t="shared" si="3"/>
        <v>67199.66615</v>
      </c>
      <c r="CX13" s="213">
        <f t="shared" si="3"/>
        <v>67199.66615</v>
      </c>
      <c r="CY13" s="213">
        <f t="shared" si="3"/>
        <v>67199.66615</v>
      </c>
      <c r="CZ13" s="213">
        <f t="shared" si="3"/>
        <v>67199.66615</v>
      </c>
      <c r="DA13" s="213">
        <f t="shared" si="3"/>
        <v>67199.66615</v>
      </c>
      <c r="DB13" s="213">
        <f t="shared" si="3"/>
        <v>67199.66615</v>
      </c>
      <c r="DC13" s="213">
        <f t="shared" si="3"/>
        <v>67199.66615</v>
      </c>
      <c r="DD13" s="213">
        <f t="shared" si="3"/>
        <v>67199.66615</v>
      </c>
      <c r="DE13" s="213">
        <f t="shared" si="3"/>
        <v>67199.66615</v>
      </c>
      <c r="DF13" s="213">
        <f t="shared" si="3"/>
        <v>67199.66615</v>
      </c>
      <c r="DG13" s="213">
        <f t="shared" si="3"/>
        <v>67199.66615</v>
      </c>
      <c r="DH13" s="213">
        <f t="shared" si="3"/>
        <v>69215.65613</v>
      </c>
      <c r="DI13" s="213">
        <f t="shared" si="3"/>
        <v>69215.65613</v>
      </c>
      <c r="DJ13" s="213">
        <f t="shared" si="3"/>
        <v>69215.65613</v>
      </c>
      <c r="DK13" s="213">
        <f t="shared" si="3"/>
        <v>69215.65613</v>
      </c>
      <c r="DL13" s="213">
        <f t="shared" si="3"/>
        <v>69215.65613</v>
      </c>
      <c r="DM13" s="213">
        <f t="shared" si="3"/>
        <v>69215.65613</v>
      </c>
      <c r="DN13" s="213">
        <f t="shared" si="3"/>
        <v>69215.65613</v>
      </c>
      <c r="DO13" s="213">
        <f t="shared" si="3"/>
        <v>69215.65613</v>
      </c>
      <c r="DP13" s="213">
        <f t="shared" si="3"/>
        <v>69215.65613</v>
      </c>
      <c r="DQ13" s="213">
        <f t="shared" si="3"/>
        <v>69215.65613</v>
      </c>
      <c r="DR13" s="213">
        <f t="shared" si="3"/>
        <v>69215.65613</v>
      </c>
      <c r="DS13" s="213">
        <f t="shared" si="3"/>
        <v>69215.65613</v>
      </c>
      <c r="DT13" s="213">
        <f t="shared" si="3"/>
        <v>71292.12582</v>
      </c>
      <c r="DU13" s="213">
        <f t="shared" si="3"/>
        <v>71292.12582</v>
      </c>
      <c r="DV13" s="213">
        <f t="shared" si="3"/>
        <v>71292.12582</v>
      </c>
      <c r="DW13" s="213">
        <f t="shared" si="3"/>
        <v>71292.12582</v>
      </c>
      <c r="DX13" s="213">
        <f t="shared" si="3"/>
        <v>71292.12582</v>
      </c>
      <c r="DY13" s="213">
        <f t="shared" si="3"/>
        <v>71292.12582</v>
      </c>
      <c r="DZ13" s="213">
        <f t="shared" si="3"/>
        <v>71292.12582</v>
      </c>
      <c r="EA13" s="213">
        <f t="shared" si="3"/>
        <v>71292.12582</v>
      </c>
      <c r="EB13" s="213">
        <f t="shared" si="3"/>
        <v>71292.12582</v>
      </c>
      <c r="EC13" s="213">
        <f t="shared" si="3"/>
        <v>71292.12582</v>
      </c>
      <c r="ED13" s="213">
        <f t="shared" si="3"/>
        <v>71292.12582</v>
      </c>
      <c r="EE13" s="213">
        <f t="shared" si="3"/>
        <v>71292.12582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Assumptions!B14</f>
        <v>Vacancy</v>
      </c>
      <c r="D15" s="54">
        <f t="array" ref="D15">-D$13*IF(D$2=(Assumptions!$D$68+1),Assumptions!$D$67,XLOOKUP(D$2,Assumptions!$C$94:$M$94,Assumptions!$C$95:$M$95))</f>
        <v>-2652.40185</v>
      </c>
      <c r="E15" s="54">
        <f t="array" ref="E15">-E$13*IF(E$2=(Assumptions!$D$68+1),Assumptions!$D$67,XLOOKUP(E$2,Assumptions!$C$94:$M$94,Assumptions!$C$95:$M$95))</f>
        <v>-2652.40185</v>
      </c>
      <c r="F15" s="54">
        <f t="array" ref="F15">-F$13*IF(F$2=(Assumptions!$D$68+1),Assumptions!$D$67,XLOOKUP(F$2,Assumptions!$C$94:$M$94,Assumptions!$C$95:$M$95))</f>
        <v>-2652.40185</v>
      </c>
      <c r="G15" s="54">
        <f t="array" ref="G15">-G$13*IF(G$2=(Assumptions!$D$68+1),Assumptions!$D$67,XLOOKUP(G$2,Assumptions!$C$94:$M$94,Assumptions!$C$95:$M$95))</f>
        <v>-2652.40185</v>
      </c>
      <c r="H15" s="54">
        <f t="array" ref="H15">-H$13*IF(H$2=(Assumptions!$D$68+1),Assumptions!$D$67,XLOOKUP(H$2,Assumptions!$C$94:$M$94,Assumptions!$C$95:$M$95))</f>
        <v>-2652.40185</v>
      </c>
      <c r="I15" s="54">
        <f t="array" ref="I15">-I$13*IF(I$2=(Assumptions!$D$68+1),Assumptions!$D$67,XLOOKUP(I$2,Assumptions!$C$94:$M$94,Assumptions!$C$95:$M$95))</f>
        <v>-2652.40185</v>
      </c>
      <c r="J15" s="54">
        <f t="array" ref="J15">-J$13*IF(J$2=(Assumptions!$D$68+1),Assumptions!$D$67,XLOOKUP(J$2,Assumptions!$C$94:$M$94,Assumptions!$C$95:$M$95))</f>
        <v>-2652.40185</v>
      </c>
      <c r="K15" s="54">
        <f t="array" ref="K15">-K$13*IF(K$2=(Assumptions!$D$68+1),Assumptions!$D$67,XLOOKUP(K$2,Assumptions!$C$94:$M$94,Assumptions!$C$95:$M$95))</f>
        <v>-2652.40185</v>
      </c>
      <c r="L15" s="54">
        <f t="array" ref="L15">-L$13*IF(L$2=(Assumptions!$D$68+1),Assumptions!$D$67,XLOOKUP(L$2,Assumptions!$C$94:$M$94,Assumptions!$C$95:$M$95))</f>
        <v>-2652.40185</v>
      </c>
      <c r="M15" s="54">
        <f t="array" ref="M15">-M$13*IF(M$2=(Assumptions!$D$68+1),Assumptions!$D$67,XLOOKUP(M$2,Assumptions!$C$94:$M$94,Assumptions!$C$95:$M$95))</f>
        <v>-2652.40185</v>
      </c>
      <c r="N15" s="54">
        <f t="array" ref="N15">-N$13*IF(N$2=(Assumptions!$D$68+1),Assumptions!$D$67,XLOOKUP(N$2,Assumptions!$C$94:$M$94,Assumptions!$C$95:$M$95))</f>
        <v>-2652.40185</v>
      </c>
      <c r="O15" s="54">
        <f t="array" ref="O15">-O$13*IF(O$2=(Assumptions!$D$68+1),Assumptions!$D$67,XLOOKUP(O$2,Assumptions!$C$94:$M$94,Assumptions!$C$95:$M$95))</f>
        <v>-2652.40185</v>
      </c>
      <c r="P15" s="54">
        <f t="array" ref="P15">-P$13*IF(P$2=(Assumptions!$D$68+1),Assumptions!$D$67,XLOOKUP(P$2,Assumptions!$C$94:$M$94,Assumptions!$C$95:$M$95))</f>
        <v>-1092.789562</v>
      </c>
      <c r="Q15" s="54">
        <f t="array" ref="Q15">-Q$13*IF(Q$2=(Assumptions!$D$68+1),Assumptions!$D$67,XLOOKUP(Q$2,Assumptions!$C$94:$M$94,Assumptions!$C$95:$M$95))</f>
        <v>-1092.789562</v>
      </c>
      <c r="R15" s="54">
        <f t="array" ref="R15">-R$13*IF(R$2=(Assumptions!$D$68+1),Assumptions!$D$67,XLOOKUP(R$2,Assumptions!$C$94:$M$94,Assumptions!$C$95:$M$95))</f>
        <v>-1092.789562</v>
      </c>
      <c r="S15" s="54">
        <f t="array" ref="S15">-S$13*IF(S$2=(Assumptions!$D$68+1),Assumptions!$D$67,XLOOKUP(S$2,Assumptions!$C$94:$M$94,Assumptions!$C$95:$M$95))</f>
        <v>-1092.789562</v>
      </c>
      <c r="T15" s="54">
        <f t="array" ref="T15">-T$13*IF(T$2=(Assumptions!$D$68+1),Assumptions!$D$67,XLOOKUP(T$2,Assumptions!$C$94:$M$94,Assumptions!$C$95:$M$95))</f>
        <v>-1092.789562</v>
      </c>
      <c r="U15" s="54">
        <f t="array" ref="U15">-U$13*IF(U$2=(Assumptions!$D$68+1),Assumptions!$D$67,XLOOKUP(U$2,Assumptions!$C$94:$M$94,Assumptions!$C$95:$M$95))</f>
        <v>-1092.789562</v>
      </c>
      <c r="V15" s="54">
        <f t="array" ref="V15">-V$13*IF(V$2=(Assumptions!$D$68+1),Assumptions!$D$67,XLOOKUP(V$2,Assumptions!$C$94:$M$94,Assumptions!$C$95:$M$95))</f>
        <v>-1092.789562</v>
      </c>
      <c r="W15" s="54">
        <f t="array" ref="W15">-W$13*IF(W$2=(Assumptions!$D$68+1),Assumptions!$D$67,XLOOKUP(W$2,Assumptions!$C$94:$M$94,Assumptions!$C$95:$M$95))</f>
        <v>-1092.789562</v>
      </c>
      <c r="X15" s="54">
        <f t="array" ref="X15">-X$13*IF(X$2=(Assumptions!$D$68+1),Assumptions!$D$67,XLOOKUP(X$2,Assumptions!$C$94:$M$94,Assumptions!$C$95:$M$95))</f>
        <v>-1092.789562</v>
      </c>
      <c r="Y15" s="54">
        <f t="array" ref="Y15">-Y$13*IF(Y$2=(Assumptions!$D$68+1),Assumptions!$D$67,XLOOKUP(Y$2,Assumptions!$C$94:$M$94,Assumptions!$C$95:$M$95))</f>
        <v>-1092.789562</v>
      </c>
      <c r="Z15" s="54">
        <f t="array" ref="Z15">-Z$13*IF(Z$2=(Assumptions!$D$68+1),Assumptions!$D$67,XLOOKUP(Z$2,Assumptions!$C$94:$M$94,Assumptions!$C$95:$M$95))</f>
        <v>-1092.789562</v>
      </c>
      <c r="AA15" s="54">
        <f t="array" ref="AA15">-AA$13*IF(AA$2=(Assumptions!$D$68+1),Assumptions!$D$67,XLOOKUP(AA$2,Assumptions!$C$94:$M$94,Assumptions!$C$95:$M$95))</f>
        <v>-1092.789562</v>
      </c>
      <c r="AB15" s="54">
        <f t="array" ref="AB15">-AB$13*IF(AB$2=(Assumptions!$D$68+1),Assumptions!$D$67,XLOOKUP(AB$2,Assumptions!$C$94:$M$94,Assumptions!$C$95:$M$95))</f>
        <v>-1125.573249</v>
      </c>
      <c r="AC15" s="54">
        <f t="array" ref="AC15">-AC$13*IF(AC$2=(Assumptions!$D$68+1),Assumptions!$D$67,XLOOKUP(AC$2,Assumptions!$C$94:$M$94,Assumptions!$C$95:$M$95))</f>
        <v>-1125.573249</v>
      </c>
      <c r="AD15" s="54">
        <f t="array" ref="AD15">-AD$13*IF(AD$2=(Assumptions!$D$68+1),Assumptions!$D$67,XLOOKUP(AD$2,Assumptions!$C$94:$M$94,Assumptions!$C$95:$M$95))</f>
        <v>-1125.573249</v>
      </c>
      <c r="AE15" s="54">
        <f t="array" ref="AE15">-AE$13*IF(AE$2=(Assumptions!$D$68+1),Assumptions!$D$67,XLOOKUP(AE$2,Assumptions!$C$94:$M$94,Assumptions!$C$95:$M$95))</f>
        <v>-1125.573249</v>
      </c>
      <c r="AF15" s="54">
        <f t="array" ref="AF15">-AF$13*IF(AF$2=(Assumptions!$D$68+1),Assumptions!$D$67,XLOOKUP(AF$2,Assumptions!$C$94:$M$94,Assumptions!$C$95:$M$95))</f>
        <v>-1125.573249</v>
      </c>
      <c r="AG15" s="54">
        <f t="array" ref="AG15">-AG$13*IF(AG$2=(Assumptions!$D$68+1),Assumptions!$D$67,XLOOKUP(AG$2,Assumptions!$C$94:$M$94,Assumptions!$C$95:$M$95))</f>
        <v>-1125.573249</v>
      </c>
      <c r="AH15" s="54">
        <f t="array" ref="AH15">-AH$13*IF(AH$2=(Assumptions!$D$68+1),Assumptions!$D$67,XLOOKUP(AH$2,Assumptions!$C$94:$M$94,Assumptions!$C$95:$M$95))</f>
        <v>-1125.573249</v>
      </c>
      <c r="AI15" s="54">
        <f t="array" ref="AI15">-AI$13*IF(AI$2=(Assumptions!$D$68+1),Assumptions!$D$67,XLOOKUP(AI$2,Assumptions!$C$94:$M$94,Assumptions!$C$95:$M$95))</f>
        <v>-1125.573249</v>
      </c>
      <c r="AJ15" s="54">
        <f t="array" ref="AJ15">-AJ$13*IF(AJ$2=(Assumptions!$D$68+1),Assumptions!$D$67,XLOOKUP(AJ$2,Assumptions!$C$94:$M$94,Assumptions!$C$95:$M$95))</f>
        <v>-1125.573249</v>
      </c>
      <c r="AK15" s="54">
        <f t="array" ref="AK15">-AK$13*IF(AK$2=(Assumptions!$D$68+1),Assumptions!$D$67,XLOOKUP(AK$2,Assumptions!$C$94:$M$94,Assumptions!$C$95:$M$95))</f>
        <v>-1125.573249</v>
      </c>
      <c r="AL15" s="54">
        <f t="array" ref="AL15">-AL$13*IF(AL$2=(Assumptions!$D$68+1),Assumptions!$D$67,XLOOKUP(AL$2,Assumptions!$C$94:$M$94,Assumptions!$C$95:$M$95))</f>
        <v>-1125.573249</v>
      </c>
      <c r="AM15" s="54">
        <f t="array" ref="AM15">-AM$13*IF(AM$2=(Assumptions!$D$68+1),Assumptions!$D$67,XLOOKUP(AM$2,Assumptions!$C$94:$M$94,Assumptions!$C$95:$M$95))</f>
        <v>-1125.573249</v>
      </c>
      <c r="AN15" s="54">
        <f t="array" ref="AN15">-AN$13*IF(AN$2=(Assumptions!$D$68+1),Assumptions!$D$67,XLOOKUP(AN$2,Assumptions!$C$94:$M$94,Assumptions!$C$95:$M$95))</f>
        <v>-1159.340447</v>
      </c>
      <c r="AO15" s="54">
        <f t="array" ref="AO15">-AO$13*IF(AO$2=(Assumptions!$D$68+1),Assumptions!$D$67,XLOOKUP(AO$2,Assumptions!$C$94:$M$94,Assumptions!$C$95:$M$95))</f>
        <v>-1159.340447</v>
      </c>
      <c r="AP15" s="54">
        <f t="array" ref="AP15">-AP$13*IF(AP$2=(Assumptions!$D$68+1),Assumptions!$D$67,XLOOKUP(AP$2,Assumptions!$C$94:$M$94,Assumptions!$C$95:$M$95))</f>
        <v>-1159.340447</v>
      </c>
      <c r="AQ15" s="54">
        <f t="array" ref="AQ15">-AQ$13*IF(AQ$2=(Assumptions!$D$68+1),Assumptions!$D$67,XLOOKUP(AQ$2,Assumptions!$C$94:$M$94,Assumptions!$C$95:$M$95))</f>
        <v>-1159.340447</v>
      </c>
      <c r="AR15" s="54">
        <f t="array" ref="AR15">-AR$13*IF(AR$2=(Assumptions!$D$68+1),Assumptions!$D$67,XLOOKUP(AR$2,Assumptions!$C$94:$M$94,Assumptions!$C$95:$M$95))</f>
        <v>-1159.340447</v>
      </c>
      <c r="AS15" s="54">
        <f t="array" ref="AS15">-AS$13*IF(AS$2=(Assumptions!$D$68+1),Assumptions!$D$67,XLOOKUP(AS$2,Assumptions!$C$94:$M$94,Assumptions!$C$95:$M$95))</f>
        <v>-1159.340447</v>
      </c>
      <c r="AT15" s="54">
        <f t="array" ref="AT15">-AT$13*IF(AT$2=(Assumptions!$D$68+1),Assumptions!$D$67,XLOOKUP(AT$2,Assumptions!$C$94:$M$94,Assumptions!$C$95:$M$95))</f>
        <v>-1159.340447</v>
      </c>
      <c r="AU15" s="54">
        <f t="array" ref="AU15">-AU$13*IF(AU$2=(Assumptions!$D$68+1),Assumptions!$D$67,XLOOKUP(AU$2,Assumptions!$C$94:$M$94,Assumptions!$C$95:$M$95))</f>
        <v>-1159.340447</v>
      </c>
      <c r="AV15" s="54">
        <f t="array" ref="AV15">-AV$13*IF(AV$2=(Assumptions!$D$68+1),Assumptions!$D$67,XLOOKUP(AV$2,Assumptions!$C$94:$M$94,Assumptions!$C$95:$M$95))</f>
        <v>-1159.340447</v>
      </c>
      <c r="AW15" s="54">
        <f t="array" ref="AW15">-AW$13*IF(AW$2=(Assumptions!$D$68+1),Assumptions!$D$67,XLOOKUP(AW$2,Assumptions!$C$94:$M$94,Assumptions!$C$95:$M$95))</f>
        <v>-1159.340447</v>
      </c>
      <c r="AX15" s="54">
        <f t="array" ref="AX15">-AX$13*IF(AX$2=(Assumptions!$D$68+1),Assumptions!$D$67,XLOOKUP(AX$2,Assumptions!$C$94:$M$94,Assumptions!$C$95:$M$95))</f>
        <v>-1159.340447</v>
      </c>
      <c r="AY15" s="54">
        <f t="array" ref="AY15">-AY$13*IF(AY$2=(Assumptions!$D$68+1),Assumptions!$D$67,XLOOKUP(AY$2,Assumptions!$C$94:$M$94,Assumptions!$C$95:$M$95))</f>
        <v>-1159.340447</v>
      </c>
      <c r="AZ15" s="54">
        <f t="array" ref="AZ15">-AZ$13*IF(AZ$2=(Assumptions!$D$68+1),Assumptions!$D$67,XLOOKUP(AZ$2,Assumptions!$C$94:$M$94,Assumptions!$C$95:$M$95))</f>
        <v>-1194.12066</v>
      </c>
      <c r="BA15" s="54">
        <f t="array" ref="BA15">-BA$13*IF(BA$2=(Assumptions!$D$68+1),Assumptions!$D$67,XLOOKUP(BA$2,Assumptions!$C$94:$M$94,Assumptions!$C$95:$M$95))</f>
        <v>-1194.12066</v>
      </c>
      <c r="BB15" s="54">
        <f t="array" ref="BB15">-BB$13*IF(BB$2=(Assumptions!$D$68+1),Assumptions!$D$67,XLOOKUP(BB$2,Assumptions!$C$94:$M$94,Assumptions!$C$95:$M$95))</f>
        <v>-1194.12066</v>
      </c>
      <c r="BC15" s="54">
        <f t="array" ref="BC15">-BC$13*IF(BC$2=(Assumptions!$D$68+1),Assumptions!$D$67,XLOOKUP(BC$2,Assumptions!$C$94:$M$94,Assumptions!$C$95:$M$95))</f>
        <v>-1194.12066</v>
      </c>
      <c r="BD15" s="54">
        <f t="array" ref="BD15">-BD$13*IF(BD$2=(Assumptions!$D$68+1),Assumptions!$D$67,XLOOKUP(BD$2,Assumptions!$C$94:$M$94,Assumptions!$C$95:$M$95))</f>
        <v>-1194.12066</v>
      </c>
      <c r="BE15" s="54">
        <f t="array" ref="BE15">-BE$13*IF(BE$2=(Assumptions!$D$68+1),Assumptions!$D$67,XLOOKUP(BE$2,Assumptions!$C$94:$M$94,Assumptions!$C$95:$M$95))</f>
        <v>-1194.12066</v>
      </c>
      <c r="BF15" s="54">
        <f t="array" ref="BF15">-BF$13*IF(BF$2=(Assumptions!$D$68+1),Assumptions!$D$67,XLOOKUP(BF$2,Assumptions!$C$94:$M$94,Assumptions!$C$95:$M$95))</f>
        <v>-1194.12066</v>
      </c>
      <c r="BG15" s="54">
        <f t="array" ref="BG15">-BG$13*IF(BG$2=(Assumptions!$D$68+1),Assumptions!$D$67,XLOOKUP(BG$2,Assumptions!$C$94:$M$94,Assumptions!$C$95:$M$95))</f>
        <v>-1194.12066</v>
      </c>
      <c r="BH15" s="54">
        <f t="array" ref="BH15">-BH$13*IF(BH$2=(Assumptions!$D$68+1),Assumptions!$D$67,XLOOKUP(BH$2,Assumptions!$C$94:$M$94,Assumptions!$C$95:$M$95))</f>
        <v>-1194.12066</v>
      </c>
      <c r="BI15" s="54">
        <f t="array" ref="BI15">-BI$13*IF(BI$2=(Assumptions!$D$68+1),Assumptions!$D$67,XLOOKUP(BI$2,Assumptions!$C$94:$M$94,Assumptions!$C$95:$M$95))</f>
        <v>-1194.12066</v>
      </c>
      <c r="BJ15" s="54">
        <f t="array" ref="BJ15">-BJ$13*IF(BJ$2=(Assumptions!$D$68+1),Assumptions!$D$67,XLOOKUP(BJ$2,Assumptions!$C$94:$M$94,Assumptions!$C$95:$M$95))</f>
        <v>-1194.12066</v>
      </c>
      <c r="BK15" s="54">
        <f t="array" ref="BK15">-BK$13*IF(BK$2=(Assumptions!$D$68+1),Assumptions!$D$67,XLOOKUP(BK$2,Assumptions!$C$94:$M$94,Assumptions!$C$95:$M$95))</f>
        <v>-1194.12066</v>
      </c>
      <c r="BL15" s="54">
        <f t="array" ref="BL15">-BL$13*IF(BL$2=(Assumptions!$D$68+1),Assumptions!$D$67,XLOOKUP(BL$2,Assumptions!$C$94:$M$94,Assumptions!$C$95:$M$95))</f>
        <v>-1229.94428</v>
      </c>
      <c r="BM15" s="54">
        <f t="array" ref="BM15">-BM$13*IF(BM$2=(Assumptions!$D$68+1),Assumptions!$D$67,XLOOKUP(BM$2,Assumptions!$C$94:$M$94,Assumptions!$C$95:$M$95))</f>
        <v>-1229.94428</v>
      </c>
      <c r="BN15" s="54">
        <f t="array" ref="BN15">-BN$13*IF(BN$2=(Assumptions!$D$68+1),Assumptions!$D$67,XLOOKUP(BN$2,Assumptions!$C$94:$M$94,Assumptions!$C$95:$M$95))</f>
        <v>-1229.94428</v>
      </c>
      <c r="BO15" s="54">
        <f t="array" ref="BO15">-BO$13*IF(BO$2=(Assumptions!$D$68+1),Assumptions!$D$67,XLOOKUP(BO$2,Assumptions!$C$94:$M$94,Assumptions!$C$95:$M$95))</f>
        <v>-1229.94428</v>
      </c>
      <c r="BP15" s="54">
        <f t="array" ref="BP15">-BP$13*IF(BP$2=(Assumptions!$D$68+1),Assumptions!$D$67,XLOOKUP(BP$2,Assumptions!$C$94:$M$94,Assumptions!$C$95:$M$95))</f>
        <v>-1229.94428</v>
      </c>
      <c r="BQ15" s="54">
        <f t="array" ref="BQ15">-BQ$13*IF(BQ$2=(Assumptions!$D$68+1),Assumptions!$D$67,XLOOKUP(BQ$2,Assumptions!$C$94:$M$94,Assumptions!$C$95:$M$95))</f>
        <v>-1229.94428</v>
      </c>
      <c r="BR15" s="54">
        <f t="array" ref="BR15">-BR$13*IF(BR$2=(Assumptions!$D$68+1),Assumptions!$D$67,XLOOKUP(BR$2,Assumptions!$C$94:$M$94,Assumptions!$C$95:$M$95))</f>
        <v>-1229.94428</v>
      </c>
      <c r="BS15" s="54">
        <f t="array" ref="BS15">-BS$13*IF(BS$2=(Assumptions!$D$68+1),Assumptions!$D$67,XLOOKUP(BS$2,Assumptions!$C$94:$M$94,Assumptions!$C$95:$M$95))</f>
        <v>-1229.94428</v>
      </c>
      <c r="BT15" s="54">
        <f t="array" ref="BT15">-BT$13*IF(BT$2=(Assumptions!$D$68+1),Assumptions!$D$67,XLOOKUP(BT$2,Assumptions!$C$94:$M$94,Assumptions!$C$95:$M$95))</f>
        <v>-1229.94428</v>
      </c>
      <c r="BU15" s="54">
        <f t="array" ref="BU15">-BU$13*IF(BU$2=(Assumptions!$D$68+1),Assumptions!$D$67,XLOOKUP(BU$2,Assumptions!$C$94:$M$94,Assumptions!$C$95:$M$95))</f>
        <v>-1229.94428</v>
      </c>
      <c r="BV15" s="54">
        <f t="array" ref="BV15">-BV$13*IF(BV$2=(Assumptions!$D$68+1),Assumptions!$D$67,XLOOKUP(BV$2,Assumptions!$C$94:$M$94,Assumptions!$C$95:$M$95))</f>
        <v>-1229.94428</v>
      </c>
      <c r="BW15" s="54">
        <f t="array" ref="BW15">-BW$13*IF(BW$2=(Assumptions!$D$68+1),Assumptions!$D$67,XLOOKUP(BW$2,Assumptions!$C$94:$M$94,Assumptions!$C$95:$M$95))</f>
        <v>-1229.94428</v>
      </c>
      <c r="BX15" s="54">
        <f t="array" ref="BX15">-BX$13*IF(BX$2=(Assumptions!$D$68+1),Assumptions!$D$67,XLOOKUP(BX$2,Assumptions!$C$94:$M$94,Assumptions!$C$95:$M$95))</f>
        <v>-1266.842608</v>
      </c>
      <c r="BY15" s="54">
        <f t="array" ref="BY15">-BY$13*IF(BY$2=(Assumptions!$D$68+1),Assumptions!$D$67,XLOOKUP(BY$2,Assumptions!$C$94:$M$94,Assumptions!$C$95:$M$95))</f>
        <v>-1266.842608</v>
      </c>
      <c r="BZ15" s="54">
        <f t="array" ref="BZ15">-BZ$13*IF(BZ$2=(Assumptions!$D$68+1),Assumptions!$D$67,XLOOKUP(BZ$2,Assumptions!$C$94:$M$94,Assumptions!$C$95:$M$95))</f>
        <v>-1266.842608</v>
      </c>
      <c r="CA15" s="54">
        <f t="array" ref="CA15">-CA$13*IF(CA$2=(Assumptions!$D$68+1),Assumptions!$D$67,XLOOKUP(CA$2,Assumptions!$C$94:$M$94,Assumptions!$C$95:$M$95))</f>
        <v>-1266.842608</v>
      </c>
      <c r="CB15" s="54">
        <f t="array" ref="CB15">-CB$13*IF(CB$2=(Assumptions!$D$68+1),Assumptions!$D$67,XLOOKUP(CB$2,Assumptions!$C$94:$M$94,Assumptions!$C$95:$M$95))</f>
        <v>-1266.842608</v>
      </c>
      <c r="CC15" s="54">
        <f t="array" ref="CC15">-CC$13*IF(CC$2=(Assumptions!$D$68+1),Assumptions!$D$67,XLOOKUP(CC$2,Assumptions!$C$94:$M$94,Assumptions!$C$95:$M$95))</f>
        <v>-1266.842608</v>
      </c>
      <c r="CD15" s="54">
        <f t="array" ref="CD15">-CD$13*IF(CD$2=(Assumptions!$D$68+1),Assumptions!$D$67,XLOOKUP(CD$2,Assumptions!$C$94:$M$94,Assumptions!$C$95:$M$95))</f>
        <v>-1266.842608</v>
      </c>
      <c r="CE15" s="54">
        <f t="array" ref="CE15">-CE$13*IF(CE$2=(Assumptions!$D$68+1),Assumptions!$D$67,XLOOKUP(CE$2,Assumptions!$C$94:$M$94,Assumptions!$C$95:$M$95))</f>
        <v>-1266.842608</v>
      </c>
      <c r="CF15" s="54">
        <f t="array" ref="CF15">-CF$13*IF(CF$2=(Assumptions!$D$68+1),Assumptions!$D$67,XLOOKUP(CF$2,Assumptions!$C$94:$M$94,Assumptions!$C$95:$M$95))</f>
        <v>-1266.842608</v>
      </c>
      <c r="CG15" s="54">
        <f t="array" ref="CG15">-CG$13*IF(CG$2=(Assumptions!$D$68+1),Assumptions!$D$67,XLOOKUP(CG$2,Assumptions!$C$94:$M$94,Assumptions!$C$95:$M$95))</f>
        <v>-1266.842608</v>
      </c>
      <c r="CH15" s="54">
        <f t="array" ref="CH15">-CH$13*IF(CH$2=(Assumptions!$D$68+1),Assumptions!$D$67,XLOOKUP(CH$2,Assumptions!$C$94:$M$94,Assumptions!$C$95:$M$95))</f>
        <v>-1266.842608</v>
      </c>
      <c r="CI15" s="54">
        <f t="array" ref="CI15">-CI$13*IF(CI$2=(Assumptions!$D$68+1),Assumptions!$D$67,XLOOKUP(CI$2,Assumptions!$C$94:$M$94,Assumptions!$C$95:$M$95))</f>
        <v>-1266.842608</v>
      </c>
      <c r="CJ15" s="54">
        <f t="array" ref="CJ15">-CJ$13*IF(CJ$2=(Assumptions!$D$68+1),Assumptions!$D$67,XLOOKUP(CJ$2,Assumptions!$C$94:$M$94,Assumptions!$C$95:$M$95))</f>
        <v>-1304.847886</v>
      </c>
      <c r="CK15" s="54">
        <f t="array" ref="CK15">-CK$13*IF(CK$2=(Assumptions!$D$68+1),Assumptions!$D$67,XLOOKUP(CK$2,Assumptions!$C$94:$M$94,Assumptions!$C$95:$M$95))</f>
        <v>-1304.847886</v>
      </c>
      <c r="CL15" s="54">
        <f t="array" ref="CL15">-CL$13*IF(CL$2=(Assumptions!$D$68+1),Assumptions!$D$67,XLOOKUP(CL$2,Assumptions!$C$94:$M$94,Assumptions!$C$95:$M$95))</f>
        <v>-1304.847886</v>
      </c>
      <c r="CM15" s="54">
        <f t="array" ref="CM15">-CM$13*IF(CM$2=(Assumptions!$D$68+1),Assumptions!$D$67,XLOOKUP(CM$2,Assumptions!$C$94:$M$94,Assumptions!$C$95:$M$95))</f>
        <v>-1304.847886</v>
      </c>
      <c r="CN15" s="54">
        <f t="array" ref="CN15">-CN$13*IF(CN$2=(Assumptions!$D$68+1),Assumptions!$D$67,XLOOKUP(CN$2,Assumptions!$C$94:$M$94,Assumptions!$C$95:$M$95))</f>
        <v>-1304.847886</v>
      </c>
      <c r="CO15" s="54">
        <f t="array" ref="CO15">-CO$13*IF(CO$2=(Assumptions!$D$68+1),Assumptions!$D$67,XLOOKUP(CO$2,Assumptions!$C$94:$M$94,Assumptions!$C$95:$M$95))</f>
        <v>-1304.847886</v>
      </c>
      <c r="CP15" s="54">
        <f t="array" ref="CP15">-CP$13*IF(CP$2=(Assumptions!$D$68+1),Assumptions!$D$67,XLOOKUP(CP$2,Assumptions!$C$94:$M$94,Assumptions!$C$95:$M$95))</f>
        <v>-1304.847886</v>
      </c>
      <c r="CQ15" s="54">
        <f t="array" ref="CQ15">-CQ$13*IF(CQ$2=(Assumptions!$D$68+1),Assumptions!$D$67,XLOOKUP(CQ$2,Assumptions!$C$94:$M$94,Assumptions!$C$95:$M$95))</f>
        <v>-1304.847886</v>
      </c>
      <c r="CR15" s="54">
        <f t="array" ref="CR15">-CR$13*IF(CR$2=(Assumptions!$D$68+1),Assumptions!$D$67,XLOOKUP(CR$2,Assumptions!$C$94:$M$94,Assumptions!$C$95:$M$95))</f>
        <v>-1304.847886</v>
      </c>
      <c r="CS15" s="54">
        <f t="array" ref="CS15">-CS$13*IF(CS$2=(Assumptions!$D$68+1),Assumptions!$D$67,XLOOKUP(CS$2,Assumptions!$C$94:$M$94,Assumptions!$C$95:$M$95))</f>
        <v>-1304.847886</v>
      </c>
      <c r="CT15" s="54">
        <f t="array" ref="CT15">-CT$13*IF(CT$2=(Assumptions!$D$68+1),Assumptions!$D$67,XLOOKUP(CT$2,Assumptions!$C$94:$M$94,Assumptions!$C$95:$M$95))</f>
        <v>-1304.847886</v>
      </c>
      <c r="CU15" s="54">
        <f t="array" ref="CU15">-CU$13*IF(CU$2=(Assumptions!$D$68+1),Assumptions!$D$67,XLOOKUP(CU$2,Assumptions!$C$94:$M$94,Assumptions!$C$95:$M$95))</f>
        <v>-1304.847886</v>
      </c>
      <c r="CV15" s="54">
        <f t="array" ref="CV15">-CV$13*IF(CV$2=(Assumptions!$D$68+1),Assumptions!$D$67,XLOOKUP(CV$2,Assumptions!$C$94:$M$94,Assumptions!$C$95:$M$95))</f>
        <v>-1343.993323</v>
      </c>
      <c r="CW15" s="54">
        <f t="array" ref="CW15">-CW$13*IF(CW$2=(Assumptions!$D$68+1),Assumptions!$D$67,XLOOKUP(CW$2,Assumptions!$C$94:$M$94,Assumptions!$C$95:$M$95))</f>
        <v>-1343.993323</v>
      </c>
      <c r="CX15" s="54">
        <f t="array" ref="CX15">-CX$13*IF(CX$2=(Assumptions!$D$68+1),Assumptions!$D$67,XLOOKUP(CX$2,Assumptions!$C$94:$M$94,Assumptions!$C$95:$M$95))</f>
        <v>-1343.993323</v>
      </c>
      <c r="CY15" s="54">
        <f t="array" ref="CY15">-CY$13*IF(CY$2=(Assumptions!$D$68+1),Assumptions!$D$67,XLOOKUP(CY$2,Assumptions!$C$94:$M$94,Assumptions!$C$95:$M$95))</f>
        <v>-1343.993323</v>
      </c>
      <c r="CZ15" s="54">
        <f t="array" ref="CZ15">-CZ$13*IF(CZ$2=(Assumptions!$D$68+1),Assumptions!$D$67,XLOOKUP(CZ$2,Assumptions!$C$94:$M$94,Assumptions!$C$95:$M$95))</f>
        <v>-1343.993323</v>
      </c>
      <c r="DA15" s="54">
        <f t="array" ref="DA15">-DA$13*IF(DA$2=(Assumptions!$D$68+1),Assumptions!$D$67,XLOOKUP(DA$2,Assumptions!$C$94:$M$94,Assumptions!$C$95:$M$95))</f>
        <v>-1343.993323</v>
      </c>
      <c r="DB15" s="54">
        <f t="array" ref="DB15">-DB$13*IF(DB$2=(Assumptions!$D$68+1),Assumptions!$D$67,XLOOKUP(DB$2,Assumptions!$C$94:$M$94,Assumptions!$C$95:$M$95))</f>
        <v>-1343.993323</v>
      </c>
      <c r="DC15" s="54">
        <f t="array" ref="DC15">-DC$13*IF(DC$2=(Assumptions!$D$68+1),Assumptions!$D$67,XLOOKUP(DC$2,Assumptions!$C$94:$M$94,Assumptions!$C$95:$M$95))</f>
        <v>-1343.993323</v>
      </c>
      <c r="DD15" s="54">
        <f t="array" ref="DD15">-DD$13*IF(DD$2=(Assumptions!$D$68+1),Assumptions!$D$67,XLOOKUP(DD$2,Assumptions!$C$94:$M$94,Assumptions!$C$95:$M$95))</f>
        <v>-1343.993323</v>
      </c>
      <c r="DE15" s="54">
        <f t="array" ref="DE15">-DE$13*IF(DE$2=(Assumptions!$D$68+1),Assumptions!$D$67,XLOOKUP(DE$2,Assumptions!$C$94:$M$94,Assumptions!$C$95:$M$95))</f>
        <v>-1343.993323</v>
      </c>
      <c r="DF15" s="54">
        <f t="array" ref="DF15">-DF$13*IF(DF$2=(Assumptions!$D$68+1),Assumptions!$D$67,XLOOKUP(DF$2,Assumptions!$C$94:$M$94,Assumptions!$C$95:$M$95))</f>
        <v>-1343.993323</v>
      </c>
      <c r="DG15" s="54">
        <f t="array" ref="DG15">-DG$13*IF(DG$2=(Assumptions!$D$68+1),Assumptions!$D$67,XLOOKUP(DG$2,Assumptions!$C$94:$M$94,Assumptions!$C$95:$M$95))</f>
        <v>-1343.993323</v>
      </c>
      <c r="DH15" s="54">
        <f t="array" ref="DH15">-DH$13*IF(DH$2=(Assumptions!$D$68+1),Assumptions!$D$67,XLOOKUP(DH$2,Assumptions!$C$94:$M$94,Assumptions!$C$95:$M$95))</f>
        <v>-1384.313123</v>
      </c>
      <c r="DI15" s="54">
        <f t="array" ref="DI15">-DI$13*IF(DI$2=(Assumptions!$D$68+1),Assumptions!$D$67,XLOOKUP(DI$2,Assumptions!$C$94:$M$94,Assumptions!$C$95:$M$95))</f>
        <v>-1384.313123</v>
      </c>
      <c r="DJ15" s="54">
        <f t="array" ref="DJ15">-DJ$13*IF(DJ$2=(Assumptions!$D$68+1),Assumptions!$D$67,XLOOKUP(DJ$2,Assumptions!$C$94:$M$94,Assumptions!$C$95:$M$95))</f>
        <v>-1384.313123</v>
      </c>
      <c r="DK15" s="54">
        <f t="array" ref="DK15">-DK$13*IF(DK$2=(Assumptions!$D$68+1),Assumptions!$D$67,XLOOKUP(DK$2,Assumptions!$C$94:$M$94,Assumptions!$C$95:$M$95))</f>
        <v>-1384.313123</v>
      </c>
      <c r="DL15" s="54">
        <f t="array" ref="DL15">-DL$13*IF(DL$2=(Assumptions!$D$68+1),Assumptions!$D$67,XLOOKUP(DL$2,Assumptions!$C$94:$M$94,Assumptions!$C$95:$M$95))</f>
        <v>-1384.313123</v>
      </c>
      <c r="DM15" s="54">
        <f t="array" ref="DM15">-DM$13*IF(DM$2=(Assumptions!$D$68+1),Assumptions!$D$67,XLOOKUP(DM$2,Assumptions!$C$94:$M$94,Assumptions!$C$95:$M$95))</f>
        <v>-1384.313123</v>
      </c>
      <c r="DN15" s="54">
        <f t="array" ref="DN15">-DN$13*IF(DN$2=(Assumptions!$D$68+1),Assumptions!$D$67,XLOOKUP(DN$2,Assumptions!$C$94:$M$94,Assumptions!$C$95:$M$95))</f>
        <v>-1384.313123</v>
      </c>
      <c r="DO15" s="54">
        <f t="array" ref="DO15">-DO$13*IF(DO$2=(Assumptions!$D$68+1),Assumptions!$D$67,XLOOKUP(DO$2,Assumptions!$C$94:$M$94,Assumptions!$C$95:$M$95))</f>
        <v>-1384.313123</v>
      </c>
      <c r="DP15" s="54">
        <f t="array" ref="DP15">-DP$13*IF(DP$2=(Assumptions!$D$68+1),Assumptions!$D$67,XLOOKUP(DP$2,Assumptions!$C$94:$M$94,Assumptions!$C$95:$M$95))</f>
        <v>-1384.313123</v>
      </c>
      <c r="DQ15" s="54">
        <f t="array" ref="DQ15">-DQ$13*IF(DQ$2=(Assumptions!$D$68+1),Assumptions!$D$67,XLOOKUP(DQ$2,Assumptions!$C$94:$M$94,Assumptions!$C$95:$M$95))</f>
        <v>-1384.313123</v>
      </c>
      <c r="DR15" s="54">
        <f t="array" ref="DR15">-DR$13*IF(DR$2=(Assumptions!$D$68+1),Assumptions!$D$67,XLOOKUP(DR$2,Assumptions!$C$94:$M$94,Assumptions!$C$95:$M$95))</f>
        <v>-1384.313123</v>
      </c>
      <c r="DS15" s="54">
        <f t="array" ref="DS15">-DS$13*IF(DS$2=(Assumptions!$D$68+1),Assumptions!$D$67,XLOOKUP(DS$2,Assumptions!$C$94:$M$94,Assumptions!$C$95:$M$95))</f>
        <v>-1384.313123</v>
      </c>
      <c r="DT15" s="54">
        <f t="array" ref="DT15">-DT$13*IF(DT$2=(Assumptions!$D$68+1),Assumptions!$D$67,XLOOKUP(DT$2,Assumptions!$C$94:$M$94,Assumptions!$C$95:$M$95))</f>
        <v>-3564.606291</v>
      </c>
      <c r="DU15" s="54">
        <f t="array" ref="DU15">-DU$13*IF(DU$2=(Assumptions!$D$68+1),Assumptions!$D$67,XLOOKUP(DU$2,Assumptions!$C$94:$M$94,Assumptions!$C$95:$M$95))</f>
        <v>-3564.606291</v>
      </c>
      <c r="DV15" s="54">
        <f t="array" ref="DV15">-DV$13*IF(DV$2=(Assumptions!$D$68+1),Assumptions!$D$67,XLOOKUP(DV$2,Assumptions!$C$94:$M$94,Assumptions!$C$95:$M$95))</f>
        <v>-3564.606291</v>
      </c>
      <c r="DW15" s="54">
        <f t="array" ref="DW15">-DW$13*IF(DW$2=(Assumptions!$D$68+1),Assumptions!$D$67,XLOOKUP(DW$2,Assumptions!$C$94:$M$94,Assumptions!$C$95:$M$95))</f>
        <v>-3564.606291</v>
      </c>
      <c r="DX15" s="54">
        <f t="array" ref="DX15">-DX$13*IF(DX$2=(Assumptions!$D$68+1),Assumptions!$D$67,XLOOKUP(DX$2,Assumptions!$C$94:$M$94,Assumptions!$C$95:$M$95))</f>
        <v>-3564.606291</v>
      </c>
      <c r="DY15" s="54">
        <f t="array" ref="DY15">-DY$13*IF(DY$2=(Assumptions!$D$68+1),Assumptions!$D$67,XLOOKUP(DY$2,Assumptions!$C$94:$M$94,Assumptions!$C$95:$M$95))</f>
        <v>-3564.606291</v>
      </c>
      <c r="DZ15" s="54">
        <f t="array" ref="DZ15">-DZ$13*IF(DZ$2=(Assumptions!$D$68+1),Assumptions!$D$67,XLOOKUP(DZ$2,Assumptions!$C$94:$M$94,Assumptions!$C$95:$M$95))</f>
        <v>-3564.606291</v>
      </c>
      <c r="EA15" s="54">
        <f t="array" ref="EA15">-EA$13*IF(EA$2=(Assumptions!$D$68+1),Assumptions!$D$67,XLOOKUP(EA$2,Assumptions!$C$94:$M$94,Assumptions!$C$95:$M$95))</f>
        <v>-3564.606291</v>
      </c>
      <c r="EB15" s="54">
        <f t="array" ref="EB15">-EB$13*IF(EB$2=(Assumptions!$D$68+1),Assumptions!$D$67,XLOOKUP(EB$2,Assumptions!$C$94:$M$94,Assumptions!$C$95:$M$95))</f>
        <v>-3564.606291</v>
      </c>
      <c r="EC15" s="54">
        <f t="array" ref="EC15">-EC$13*IF(EC$2=(Assumptions!$D$68+1),Assumptions!$D$67,XLOOKUP(EC$2,Assumptions!$C$94:$M$94,Assumptions!$C$95:$M$95))</f>
        <v>-3564.606291</v>
      </c>
      <c r="ED15" s="54">
        <f t="array" ref="ED15">-ED$13*IF(ED$2=(Assumptions!$D$68+1),Assumptions!$D$67,XLOOKUP(ED$2,Assumptions!$C$94:$M$94,Assumptions!$C$95:$M$95))</f>
        <v>-3564.606291</v>
      </c>
      <c r="EE15" s="54">
        <f t="array" ref="EE15">-EE$13*IF(EE$2=(Assumptions!$D$68+1),Assumptions!$D$67,XLOOKUP(EE$2,Assumptions!$C$94:$M$94,Assumptions!$C$95:$M$95))</f>
        <v>-3564.606291</v>
      </c>
    </row>
    <row r="16" ht="15.75" customHeight="1">
      <c r="A16" s="1"/>
      <c r="B16" s="1"/>
      <c r="C16" s="1" t="str">
        <f>Assumptions!B15</f>
        <v>Bad Debt </v>
      </c>
      <c r="D16" s="54">
        <f>-D$13*Assumptions!$F15</f>
        <v>-530.48037</v>
      </c>
      <c r="E16" s="54">
        <f>-E$13*Assumptions!$F15</f>
        <v>-530.48037</v>
      </c>
      <c r="F16" s="54">
        <f>-F$13*Assumptions!$F15</f>
        <v>-530.48037</v>
      </c>
      <c r="G16" s="54">
        <f>-G$13*Assumptions!$F15</f>
        <v>-530.48037</v>
      </c>
      <c r="H16" s="54">
        <f>-H$13*Assumptions!$F15</f>
        <v>-530.48037</v>
      </c>
      <c r="I16" s="54">
        <f>-I$13*Assumptions!$F15</f>
        <v>-530.48037</v>
      </c>
      <c r="J16" s="54">
        <f>-J$13*Assumptions!$F15</f>
        <v>-530.48037</v>
      </c>
      <c r="K16" s="54">
        <f>-K$13*Assumptions!$F15</f>
        <v>-530.48037</v>
      </c>
      <c r="L16" s="54">
        <f>-L$13*Assumptions!$F15</f>
        <v>-530.48037</v>
      </c>
      <c r="M16" s="54">
        <f>-M$13*Assumptions!$F15</f>
        <v>-530.48037</v>
      </c>
      <c r="N16" s="54">
        <f>-N$13*Assumptions!$F15</f>
        <v>-530.48037</v>
      </c>
      <c r="O16" s="54">
        <f>-O$13*Assumptions!$F15</f>
        <v>-530.48037</v>
      </c>
      <c r="P16" s="54">
        <f>-P$13*Assumptions!$F15</f>
        <v>-546.3947811</v>
      </c>
      <c r="Q16" s="54">
        <f>-Q$13*Assumptions!$F15</f>
        <v>-546.3947811</v>
      </c>
      <c r="R16" s="54">
        <f>-R$13*Assumptions!$F15</f>
        <v>-546.3947811</v>
      </c>
      <c r="S16" s="54">
        <f>-S$13*Assumptions!$F15</f>
        <v>-546.3947811</v>
      </c>
      <c r="T16" s="54">
        <f>-T$13*Assumptions!$F15</f>
        <v>-546.3947811</v>
      </c>
      <c r="U16" s="54">
        <f>-U$13*Assumptions!$F15</f>
        <v>-546.3947811</v>
      </c>
      <c r="V16" s="54">
        <f>-V$13*Assumptions!$F15</f>
        <v>-546.3947811</v>
      </c>
      <c r="W16" s="54">
        <f>-W$13*Assumptions!$F15</f>
        <v>-546.3947811</v>
      </c>
      <c r="X16" s="54">
        <f>-X$13*Assumptions!$F15</f>
        <v>-546.3947811</v>
      </c>
      <c r="Y16" s="54">
        <f>-Y$13*Assumptions!$F15</f>
        <v>-546.3947811</v>
      </c>
      <c r="Z16" s="54">
        <f>-Z$13*Assumptions!$F15</f>
        <v>-546.3947811</v>
      </c>
      <c r="AA16" s="54">
        <f>-AA$13*Assumptions!$F15</f>
        <v>-546.3947811</v>
      </c>
      <c r="AB16" s="54">
        <f>-AB$13*Assumptions!$F15</f>
        <v>-562.7866245</v>
      </c>
      <c r="AC16" s="54">
        <f>-AC$13*Assumptions!$F15</f>
        <v>-562.7866245</v>
      </c>
      <c r="AD16" s="54">
        <f>-AD$13*Assumptions!$F15</f>
        <v>-562.7866245</v>
      </c>
      <c r="AE16" s="54">
        <f>-AE$13*Assumptions!$F15</f>
        <v>-562.7866245</v>
      </c>
      <c r="AF16" s="54">
        <f>-AF$13*Assumptions!$F15</f>
        <v>-562.7866245</v>
      </c>
      <c r="AG16" s="54">
        <f>-AG$13*Assumptions!$F15</f>
        <v>-562.7866245</v>
      </c>
      <c r="AH16" s="54">
        <f>-AH$13*Assumptions!$F15</f>
        <v>-562.7866245</v>
      </c>
      <c r="AI16" s="54">
        <f>-AI$13*Assumptions!$F15</f>
        <v>-562.7866245</v>
      </c>
      <c r="AJ16" s="54">
        <f>-AJ$13*Assumptions!$F15</f>
        <v>-562.7866245</v>
      </c>
      <c r="AK16" s="54">
        <f>-AK$13*Assumptions!$F15</f>
        <v>-562.7866245</v>
      </c>
      <c r="AL16" s="54">
        <f>-AL$13*Assumptions!$F15</f>
        <v>-562.7866245</v>
      </c>
      <c r="AM16" s="54">
        <f>-AM$13*Assumptions!$F15</f>
        <v>-562.7866245</v>
      </c>
      <c r="AN16" s="54">
        <f>-AN$13*Assumptions!$F15</f>
        <v>-579.6702233</v>
      </c>
      <c r="AO16" s="54">
        <f>-AO$13*Assumptions!$F15</f>
        <v>-579.6702233</v>
      </c>
      <c r="AP16" s="54">
        <f>-AP$13*Assumptions!$F15</f>
        <v>-579.6702233</v>
      </c>
      <c r="AQ16" s="54">
        <f>-AQ$13*Assumptions!$F15</f>
        <v>-579.6702233</v>
      </c>
      <c r="AR16" s="54">
        <f>-AR$13*Assumptions!$F15</f>
        <v>-579.6702233</v>
      </c>
      <c r="AS16" s="54">
        <f>-AS$13*Assumptions!$F15</f>
        <v>-579.6702233</v>
      </c>
      <c r="AT16" s="54">
        <f>-AT$13*Assumptions!$F15</f>
        <v>-579.6702233</v>
      </c>
      <c r="AU16" s="54">
        <f>-AU$13*Assumptions!$F15</f>
        <v>-579.6702233</v>
      </c>
      <c r="AV16" s="54">
        <f>-AV$13*Assumptions!$F15</f>
        <v>-579.6702233</v>
      </c>
      <c r="AW16" s="54">
        <f>-AW$13*Assumptions!$F15</f>
        <v>-579.6702233</v>
      </c>
      <c r="AX16" s="54">
        <f>-AX$13*Assumptions!$F15</f>
        <v>-579.6702233</v>
      </c>
      <c r="AY16" s="54">
        <f>-AY$13*Assumptions!$F15</f>
        <v>-579.6702233</v>
      </c>
      <c r="AZ16" s="54">
        <f>-AZ$13*Assumptions!$F15</f>
        <v>-597.06033</v>
      </c>
      <c r="BA16" s="54">
        <f>-BA$13*Assumptions!$F15</f>
        <v>-597.06033</v>
      </c>
      <c r="BB16" s="54">
        <f>-BB$13*Assumptions!$F15</f>
        <v>-597.06033</v>
      </c>
      <c r="BC16" s="54">
        <f>-BC$13*Assumptions!$F15</f>
        <v>-597.06033</v>
      </c>
      <c r="BD16" s="54">
        <f>-BD$13*Assumptions!$F15</f>
        <v>-597.06033</v>
      </c>
      <c r="BE16" s="54">
        <f>-BE$13*Assumptions!$F15</f>
        <v>-597.06033</v>
      </c>
      <c r="BF16" s="54">
        <f>-BF$13*Assumptions!$F15</f>
        <v>-597.06033</v>
      </c>
      <c r="BG16" s="54">
        <f>-BG$13*Assumptions!$F15</f>
        <v>-597.06033</v>
      </c>
      <c r="BH16" s="54">
        <f>-BH$13*Assumptions!$F15</f>
        <v>-597.06033</v>
      </c>
      <c r="BI16" s="54">
        <f>-BI$13*Assumptions!$F15</f>
        <v>-597.06033</v>
      </c>
      <c r="BJ16" s="54">
        <f>-BJ$13*Assumptions!$F15</f>
        <v>-597.06033</v>
      </c>
      <c r="BK16" s="54">
        <f>-BK$13*Assumptions!$F15</f>
        <v>-597.06033</v>
      </c>
      <c r="BL16" s="54">
        <f>-BL$13*Assumptions!$F15</f>
        <v>-614.9721399</v>
      </c>
      <c r="BM16" s="54">
        <f>-BM$13*Assumptions!$F15</f>
        <v>-614.9721399</v>
      </c>
      <c r="BN16" s="54">
        <f>-BN$13*Assumptions!$F15</f>
        <v>-614.9721399</v>
      </c>
      <c r="BO16" s="54">
        <f>-BO$13*Assumptions!$F15</f>
        <v>-614.9721399</v>
      </c>
      <c r="BP16" s="54">
        <f>-BP$13*Assumptions!$F15</f>
        <v>-614.9721399</v>
      </c>
      <c r="BQ16" s="54">
        <f>-BQ$13*Assumptions!$F15</f>
        <v>-614.9721399</v>
      </c>
      <c r="BR16" s="54">
        <f>-BR$13*Assumptions!$F15</f>
        <v>-614.9721399</v>
      </c>
      <c r="BS16" s="54">
        <f>-BS$13*Assumptions!$F15</f>
        <v>-614.9721399</v>
      </c>
      <c r="BT16" s="54">
        <f>-BT$13*Assumptions!$F15</f>
        <v>-614.9721399</v>
      </c>
      <c r="BU16" s="54">
        <f>-BU$13*Assumptions!$F15</f>
        <v>-614.9721399</v>
      </c>
      <c r="BV16" s="54">
        <f>-BV$13*Assumptions!$F15</f>
        <v>-614.9721399</v>
      </c>
      <c r="BW16" s="54">
        <f>-BW$13*Assumptions!$F15</f>
        <v>-614.9721399</v>
      </c>
      <c r="BX16" s="54">
        <f>-BX$13*Assumptions!$F15</f>
        <v>-633.4213041</v>
      </c>
      <c r="BY16" s="54">
        <f>-BY$13*Assumptions!$F15</f>
        <v>-633.4213041</v>
      </c>
      <c r="BZ16" s="54">
        <f>-BZ$13*Assumptions!$F15</f>
        <v>-633.4213041</v>
      </c>
      <c r="CA16" s="54">
        <f>-CA$13*Assumptions!$F15</f>
        <v>-633.4213041</v>
      </c>
      <c r="CB16" s="54">
        <f>-CB$13*Assumptions!$F15</f>
        <v>-633.4213041</v>
      </c>
      <c r="CC16" s="54">
        <f>-CC$13*Assumptions!$F15</f>
        <v>-633.4213041</v>
      </c>
      <c r="CD16" s="54">
        <f>-CD$13*Assumptions!$F15</f>
        <v>-633.4213041</v>
      </c>
      <c r="CE16" s="54">
        <f>-CE$13*Assumptions!$F15</f>
        <v>-633.4213041</v>
      </c>
      <c r="CF16" s="54">
        <f>-CF$13*Assumptions!$F15</f>
        <v>-633.4213041</v>
      </c>
      <c r="CG16" s="54">
        <f>-CG$13*Assumptions!$F15</f>
        <v>-633.4213041</v>
      </c>
      <c r="CH16" s="54">
        <f>-CH$13*Assumptions!$F15</f>
        <v>-633.4213041</v>
      </c>
      <c r="CI16" s="54">
        <f>-CI$13*Assumptions!$F15</f>
        <v>-633.4213041</v>
      </c>
      <c r="CJ16" s="54">
        <f>-CJ$13*Assumptions!$F15</f>
        <v>-652.4239432</v>
      </c>
      <c r="CK16" s="54">
        <f>-CK$13*Assumptions!$F15</f>
        <v>-652.4239432</v>
      </c>
      <c r="CL16" s="54">
        <f>-CL$13*Assumptions!$F15</f>
        <v>-652.4239432</v>
      </c>
      <c r="CM16" s="54">
        <f>-CM$13*Assumptions!$F15</f>
        <v>-652.4239432</v>
      </c>
      <c r="CN16" s="54">
        <f>-CN$13*Assumptions!$F15</f>
        <v>-652.4239432</v>
      </c>
      <c r="CO16" s="54">
        <f>-CO$13*Assumptions!$F15</f>
        <v>-652.4239432</v>
      </c>
      <c r="CP16" s="54">
        <f>-CP$13*Assumptions!$F15</f>
        <v>-652.4239432</v>
      </c>
      <c r="CQ16" s="54">
        <f>-CQ$13*Assumptions!$F15</f>
        <v>-652.4239432</v>
      </c>
      <c r="CR16" s="54">
        <f>-CR$13*Assumptions!$F15</f>
        <v>-652.4239432</v>
      </c>
      <c r="CS16" s="54">
        <f>-CS$13*Assumptions!$F15</f>
        <v>-652.4239432</v>
      </c>
      <c r="CT16" s="54">
        <f>-CT$13*Assumptions!$F15</f>
        <v>-652.4239432</v>
      </c>
      <c r="CU16" s="54">
        <f>-CU$13*Assumptions!$F15</f>
        <v>-652.4239432</v>
      </c>
      <c r="CV16" s="54">
        <f>-CV$13*Assumptions!$F15</f>
        <v>-671.9966615</v>
      </c>
      <c r="CW16" s="54">
        <f>-CW$13*Assumptions!$F15</f>
        <v>-671.9966615</v>
      </c>
      <c r="CX16" s="54">
        <f>-CX$13*Assumptions!$F15</f>
        <v>-671.9966615</v>
      </c>
      <c r="CY16" s="54">
        <f>-CY$13*Assumptions!$F15</f>
        <v>-671.9966615</v>
      </c>
      <c r="CZ16" s="54">
        <f>-CZ$13*Assumptions!$F15</f>
        <v>-671.9966615</v>
      </c>
      <c r="DA16" s="54">
        <f>-DA$13*Assumptions!$F15</f>
        <v>-671.9966615</v>
      </c>
      <c r="DB16" s="54">
        <f>-DB$13*Assumptions!$F15</f>
        <v>-671.9966615</v>
      </c>
      <c r="DC16" s="54">
        <f>-DC$13*Assumptions!$F15</f>
        <v>-671.9966615</v>
      </c>
      <c r="DD16" s="54">
        <f>-DD$13*Assumptions!$F15</f>
        <v>-671.9966615</v>
      </c>
      <c r="DE16" s="54">
        <f>-DE$13*Assumptions!$F15</f>
        <v>-671.9966615</v>
      </c>
      <c r="DF16" s="54">
        <f>-DF$13*Assumptions!$F15</f>
        <v>-671.9966615</v>
      </c>
      <c r="DG16" s="54">
        <f>-DG$13*Assumptions!$F15</f>
        <v>-671.9966615</v>
      </c>
      <c r="DH16" s="54">
        <f>-DH$13*Assumptions!$F15</f>
        <v>-692.1565613</v>
      </c>
      <c r="DI16" s="54">
        <f>-DI$13*Assumptions!$F15</f>
        <v>-692.1565613</v>
      </c>
      <c r="DJ16" s="54">
        <f>-DJ$13*Assumptions!$F15</f>
        <v>-692.1565613</v>
      </c>
      <c r="DK16" s="54">
        <f>-DK$13*Assumptions!$F15</f>
        <v>-692.1565613</v>
      </c>
      <c r="DL16" s="54">
        <f>-DL$13*Assumptions!$F15</f>
        <v>-692.1565613</v>
      </c>
      <c r="DM16" s="54">
        <f>-DM$13*Assumptions!$F15</f>
        <v>-692.1565613</v>
      </c>
      <c r="DN16" s="54">
        <f>-DN$13*Assumptions!$F15</f>
        <v>-692.1565613</v>
      </c>
      <c r="DO16" s="54">
        <f>-DO$13*Assumptions!$F15</f>
        <v>-692.1565613</v>
      </c>
      <c r="DP16" s="54">
        <f>-DP$13*Assumptions!$F15</f>
        <v>-692.1565613</v>
      </c>
      <c r="DQ16" s="54">
        <f>-DQ$13*Assumptions!$F15</f>
        <v>-692.1565613</v>
      </c>
      <c r="DR16" s="54">
        <f>-DR$13*Assumptions!$F15</f>
        <v>-692.1565613</v>
      </c>
      <c r="DS16" s="54">
        <f>-DS$13*Assumptions!$F15</f>
        <v>-692.1565613</v>
      </c>
      <c r="DT16" s="54">
        <f>-DT$13*Assumptions!$F15</f>
        <v>-712.9212582</v>
      </c>
      <c r="DU16" s="54">
        <f>-DU$13*Assumptions!$F15</f>
        <v>-712.9212582</v>
      </c>
      <c r="DV16" s="54">
        <f>-DV$13*Assumptions!$F15</f>
        <v>-712.9212582</v>
      </c>
      <c r="DW16" s="54">
        <f>-DW$13*Assumptions!$F15</f>
        <v>-712.9212582</v>
      </c>
      <c r="DX16" s="54">
        <f>-DX$13*Assumptions!$F15</f>
        <v>-712.9212582</v>
      </c>
      <c r="DY16" s="54">
        <f>-DY$13*Assumptions!$F15</f>
        <v>-712.9212582</v>
      </c>
      <c r="DZ16" s="54">
        <f>-DZ$13*Assumptions!$F15</f>
        <v>-712.9212582</v>
      </c>
      <c r="EA16" s="54">
        <f>-EA$13*Assumptions!$F15</f>
        <v>-712.9212582</v>
      </c>
      <c r="EB16" s="54">
        <f>-EB$13*Assumptions!$F15</f>
        <v>-712.9212582</v>
      </c>
      <c r="EC16" s="54">
        <f>-EC$13*Assumptions!$F15</f>
        <v>-712.9212582</v>
      </c>
      <c r="ED16" s="54">
        <f>-ED$13*Assumptions!$F15</f>
        <v>-712.9212582</v>
      </c>
      <c r="EE16" s="54">
        <f>-EE$13*Assumptions!$F15</f>
        <v>-712.9212582</v>
      </c>
    </row>
    <row r="17" ht="15.75" customHeight="1">
      <c r="A17" s="1"/>
      <c r="B17" s="1"/>
      <c r="C17" s="1" t="str">
        <f>Assumptions!B16</f>
        <v>Concession</v>
      </c>
      <c r="D17" s="54">
        <f>-D$13*Assumptions!$F16</f>
        <v>-530.48037</v>
      </c>
      <c r="E17" s="54">
        <f>-E$13*Assumptions!$F16</f>
        <v>-530.48037</v>
      </c>
      <c r="F17" s="54">
        <f>-F$13*Assumptions!$F16</f>
        <v>-530.48037</v>
      </c>
      <c r="G17" s="54">
        <f>-G$13*Assumptions!$F16</f>
        <v>-530.48037</v>
      </c>
      <c r="H17" s="54">
        <f>-H$13*Assumptions!$F16</f>
        <v>-530.48037</v>
      </c>
      <c r="I17" s="54">
        <f>-I$13*Assumptions!$F16</f>
        <v>-530.48037</v>
      </c>
      <c r="J17" s="54">
        <f>-J$13*Assumptions!$F16</f>
        <v>-530.48037</v>
      </c>
      <c r="K17" s="54">
        <f>-K$13*Assumptions!$F16</f>
        <v>-530.48037</v>
      </c>
      <c r="L17" s="54">
        <f>-L$13*Assumptions!$F16</f>
        <v>-530.48037</v>
      </c>
      <c r="M17" s="54">
        <f>-M$13*Assumptions!$F16</f>
        <v>-530.48037</v>
      </c>
      <c r="N17" s="54">
        <f>-N$13*Assumptions!$F16</f>
        <v>-530.48037</v>
      </c>
      <c r="O17" s="54">
        <f>-O$13*Assumptions!$F16</f>
        <v>-530.48037</v>
      </c>
      <c r="P17" s="54">
        <f>-P$13*Assumptions!$F16</f>
        <v>-546.3947811</v>
      </c>
      <c r="Q17" s="54">
        <f>-Q$13*Assumptions!$F16</f>
        <v>-546.3947811</v>
      </c>
      <c r="R17" s="54">
        <f>-R$13*Assumptions!$F16</f>
        <v>-546.3947811</v>
      </c>
      <c r="S17" s="54">
        <f>-S$13*Assumptions!$F16</f>
        <v>-546.3947811</v>
      </c>
      <c r="T17" s="54">
        <f>-T$13*Assumptions!$F16</f>
        <v>-546.3947811</v>
      </c>
      <c r="U17" s="54">
        <f>-U$13*Assumptions!$F16</f>
        <v>-546.3947811</v>
      </c>
      <c r="V17" s="54">
        <f>-V$13*Assumptions!$F16</f>
        <v>-546.3947811</v>
      </c>
      <c r="W17" s="54">
        <f>-W$13*Assumptions!$F16</f>
        <v>-546.3947811</v>
      </c>
      <c r="X17" s="54">
        <f>-X$13*Assumptions!$F16</f>
        <v>-546.3947811</v>
      </c>
      <c r="Y17" s="54">
        <f>-Y$13*Assumptions!$F16</f>
        <v>-546.3947811</v>
      </c>
      <c r="Z17" s="54">
        <f>-Z$13*Assumptions!$F16</f>
        <v>-546.3947811</v>
      </c>
      <c r="AA17" s="54">
        <f>-AA$13*Assumptions!$F16</f>
        <v>-546.3947811</v>
      </c>
      <c r="AB17" s="54">
        <f>-AB$13*Assumptions!$F16</f>
        <v>-562.7866245</v>
      </c>
      <c r="AC17" s="54">
        <f>-AC$13*Assumptions!$F16</f>
        <v>-562.7866245</v>
      </c>
      <c r="AD17" s="54">
        <f>-AD$13*Assumptions!$F16</f>
        <v>-562.7866245</v>
      </c>
      <c r="AE17" s="54">
        <f>-AE$13*Assumptions!$F16</f>
        <v>-562.7866245</v>
      </c>
      <c r="AF17" s="54">
        <f>-AF$13*Assumptions!$F16</f>
        <v>-562.7866245</v>
      </c>
      <c r="AG17" s="54">
        <f>-AG$13*Assumptions!$F16</f>
        <v>-562.7866245</v>
      </c>
      <c r="AH17" s="54">
        <f>-AH$13*Assumptions!$F16</f>
        <v>-562.7866245</v>
      </c>
      <c r="AI17" s="54">
        <f>-AI$13*Assumptions!$F16</f>
        <v>-562.7866245</v>
      </c>
      <c r="AJ17" s="54">
        <f>-AJ$13*Assumptions!$F16</f>
        <v>-562.7866245</v>
      </c>
      <c r="AK17" s="54">
        <f>-AK$13*Assumptions!$F16</f>
        <v>-562.7866245</v>
      </c>
      <c r="AL17" s="54">
        <f>-AL$13*Assumptions!$F16</f>
        <v>-562.7866245</v>
      </c>
      <c r="AM17" s="54">
        <f>-AM$13*Assumptions!$F16</f>
        <v>-562.7866245</v>
      </c>
      <c r="AN17" s="54">
        <f>-AN$13*Assumptions!$F16</f>
        <v>-579.6702233</v>
      </c>
      <c r="AO17" s="54">
        <f>-AO$13*Assumptions!$F16</f>
        <v>-579.6702233</v>
      </c>
      <c r="AP17" s="54">
        <f>-AP$13*Assumptions!$F16</f>
        <v>-579.6702233</v>
      </c>
      <c r="AQ17" s="54">
        <f>-AQ$13*Assumptions!$F16</f>
        <v>-579.6702233</v>
      </c>
      <c r="AR17" s="54">
        <f>-AR$13*Assumptions!$F16</f>
        <v>-579.6702233</v>
      </c>
      <c r="AS17" s="54">
        <f>-AS$13*Assumptions!$F16</f>
        <v>-579.6702233</v>
      </c>
      <c r="AT17" s="54">
        <f>-AT$13*Assumptions!$F16</f>
        <v>-579.6702233</v>
      </c>
      <c r="AU17" s="54">
        <f>-AU$13*Assumptions!$F16</f>
        <v>-579.6702233</v>
      </c>
      <c r="AV17" s="54">
        <f>-AV$13*Assumptions!$F16</f>
        <v>-579.6702233</v>
      </c>
      <c r="AW17" s="54">
        <f>-AW$13*Assumptions!$F16</f>
        <v>-579.6702233</v>
      </c>
      <c r="AX17" s="54">
        <f>-AX$13*Assumptions!$F16</f>
        <v>-579.6702233</v>
      </c>
      <c r="AY17" s="54">
        <f>-AY$13*Assumptions!$F16</f>
        <v>-579.6702233</v>
      </c>
      <c r="AZ17" s="54">
        <f>-AZ$13*Assumptions!$F16</f>
        <v>-597.06033</v>
      </c>
      <c r="BA17" s="54">
        <f>-BA$13*Assumptions!$F16</f>
        <v>-597.06033</v>
      </c>
      <c r="BB17" s="54">
        <f>-BB$13*Assumptions!$F16</f>
        <v>-597.06033</v>
      </c>
      <c r="BC17" s="54">
        <f>-BC$13*Assumptions!$F16</f>
        <v>-597.06033</v>
      </c>
      <c r="BD17" s="54">
        <f>-BD$13*Assumptions!$F16</f>
        <v>-597.06033</v>
      </c>
      <c r="BE17" s="54">
        <f>-BE$13*Assumptions!$F16</f>
        <v>-597.06033</v>
      </c>
      <c r="BF17" s="54">
        <f>-BF$13*Assumptions!$F16</f>
        <v>-597.06033</v>
      </c>
      <c r="BG17" s="54">
        <f>-BG$13*Assumptions!$F16</f>
        <v>-597.06033</v>
      </c>
      <c r="BH17" s="54">
        <f>-BH$13*Assumptions!$F16</f>
        <v>-597.06033</v>
      </c>
      <c r="BI17" s="54">
        <f>-BI$13*Assumptions!$F16</f>
        <v>-597.06033</v>
      </c>
      <c r="BJ17" s="54">
        <f>-BJ$13*Assumptions!$F16</f>
        <v>-597.06033</v>
      </c>
      <c r="BK17" s="54">
        <f>-BK$13*Assumptions!$F16</f>
        <v>-597.06033</v>
      </c>
      <c r="BL17" s="54">
        <f>-BL$13*Assumptions!$F16</f>
        <v>-614.9721399</v>
      </c>
      <c r="BM17" s="54">
        <f>-BM$13*Assumptions!$F16</f>
        <v>-614.9721399</v>
      </c>
      <c r="BN17" s="54">
        <f>-BN$13*Assumptions!$F16</f>
        <v>-614.9721399</v>
      </c>
      <c r="BO17" s="54">
        <f>-BO$13*Assumptions!$F16</f>
        <v>-614.9721399</v>
      </c>
      <c r="BP17" s="54">
        <f>-BP$13*Assumptions!$F16</f>
        <v>-614.9721399</v>
      </c>
      <c r="BQ17" s="54">
        <f>-BQ$13*Assumptions!$F16</f>
        <v>-614.9721399</v>
      </c>
      <c r="BR17" s="54">
        <f>-BR$13*Assumptions!$F16</f>
        <v>-614.9721399</v>
      </c>
      <c r="BS17" s="54">
        <f>-BS$13*Assumptions!$F16</f>
        <v>-614.9721399</v>
      </c>
      <c r="BT17" s="54">
        <f>-BT$13*Assumptions!$F16</f>
        <v>-614.9721399</v>
      </c>
      <c r="BU17" s="54">
        <f>-BU$13*Assumptions!$F16</f>
        <v>-614.9721399</v>
      </c>
      <c r="BV17" s="54">
        <f>-BV$13*Assumptions!$F16</f>
        <v>-614.9721399</v>
      </c>
      <c r="BW17" s="54">
        <f>-BW$13*Assumptions!$F16</f>
        <v>-614.9721399</v>
      </c>
      <c r="BX17" s="54">
        <f>-BX$13*Assumptions!$F16</f>
        <v>-633.4213041</v>
      </c>
      <c r="BY17" s="54">
        <f>-BY$13*Assumptions!$F16</f>
        <v>-633.4213041</v>
      </c>
      <c r="BZ17" s="54">
        <f>-BZ$13*Assumptions!$F16</f>
        <v>-633.4213041</v>
      </c>
      <c r="CA17" s="54">
        <f>-CA$13*Assumptions!$F16</f>
        <v>-633.4213041</v>
      </c>
      <c r="CB17" s="54">
        <f>-CB$13*Assumptions!$F16</f>
        <v>-633.4213041</v>
      </c>
      <c r="CC17" s="54">
        <f>-CC$13*Assumptions!$F16</f>
        <v>-633.4213041</v>
      </c>
      <c r="CD17" s="54">
        <f>-CD$13*Assumptions!$F16</f>
        <v>-633.4213041</v>
      </c>
      <c r="CE17" s="54">
        <f>-CE$13*Assumptions!$F16</f>
        <v>-633.4213041</v>
      </c>
      <c r="CF17" s="54">
        <f>-CF$13*Assumptions!$F16</f>
        <v>-633.4213041</v>
      </c>
      <c r="CG17" s="54">
        <f>-CG$13*Assumptions!$F16</f>
        <v>-633.4213041</v>
      </c>
      <c r="CH17" s="54">
        <f>-CH$13*Assumptions!$F16</f>
        <v>-633.4213041</v>
      </c>
      <c r="CI17" s="54">
        <f>-CI$13*Assumptions!$F16</f>
        <v>-633.4213041</v>
      </c>
      <c r="CJ17" s="54">
        <f>-CJ$13*Assumptions!$F16</f>
        <v>-652.4239432</v>
      </c>
      <c r="CK17" s="54">
        <f>-CK$13*Assumptions!$F16</f>
        <v>-652.4239432</v>
      </c>
      <c r="CL17" s="54">
        <f>-CL$13*Assumptions!$F16</f>
        <v>-652.4239432</v>
      </c>
      <c r="CM17" s="54">
        <f>-CM$13*Assumptions!$F16</f>
        <v>-652.4239432</v>
      </c>
      <c r="CN17" s="54">
        <f>-CN$13*Assumptions!$F16</f>
        <v>-652.4239432</v>
      </c>
      <c r="CO17" s="54">
        <f>-CO$13*Assumptions!$F16</f>
        <v>-652.4239432</v>
      </c>
      <c r="CP17" s="54">
        <f>-CP$13*Assumptions!$F16</f>
        <v>-652.4239432</v>
      </c>
      <c r="CQ17" s="54">
        <f>-CQ$13*Assumptions!$F16</f>
        <v>-652.4239432</v>
      </c>
      <c r="CR17" s="54">
        <f>-CR$13*Assumptions!$F16</f>
        <v>-652.4239432</v>
      </c>
      <c r="CS17" s="54">
        <f>-CS$13*Assumptions!$F16</f>
        <v>-652.4239432</v>
      </c>
      <c r="CT17" s="54">
        <f>-CT$13*Assumptions!$F16</f>
        <v>-652.4239432</v>
      </c>
      <c r="CU17" s="54">
        <f>-CU$13*Assumptions!$F16</f>
        <v>-652.4239432</v>
      </c>
      <c r="CV17" s="54">
        <f>-CV$13*Assumptions!$F16</f>
        <v>-671.9966615</v>
      </c>
      <c r="CW17" s="54">
        <f>-CW$13*Assumptions!$F16</f>
        <v>-671.9966615</v>
      </c>
      <c r="CX17" s="54">
        <f>-CX$13*Assumptions!$F16</f>
        <v>-671.9966615</v>
      </c>
      <c r="CY17" s="54">
        <f>-CY$13*Assumptions!$F16</f>
        <v>-671.9966615</v>
      </c>
      <c r="CZ17" s="54">
        <f>-CZ$13*Assumptions!$F16</f>
        <v>-671.9966615</v>
      </c>
      <c r="DA17" s="54">
        <f>-DA$13*Assumptions!$F16</f>
        <v>-671.9966615</v>
      </c>
      <c r="DB17" s="54">
        <f>-DB$13*Assumptions!$F16</f>
        <v>-671.9966615</v>
      </c>
      <c r="DC17" s="54">
        <f>-DC$13*Assumptions!$F16</f>
        <v>-671.9966615</v>
      </c>
      <c r="DD17" s="54">
        <f>-DD$13*Assumptions!$F16</f>
        <v>-671.9966615</v>
      </c>
      <c r="DE17" s="54">
        <f>-DE$13*Assumptions!$F16</f>
        <v>-671.9966615</v>
      </c>
      <c r="DF17" s="54">
        <f>-DF$13*Assumptions!$F16</f>
        <v>-671.9966615</v>
      </c>
      <c r="DG17" s="54">
        <f>-DG$13*Assumptions!$F16</f>
        <v>-671.9966615</v>
      </c>
      <c r="DH17" s="54">
        <f>-DH$13*Assumptions!$F16</f>
        <v>-692.1565613</v>
      </c>
      <c r="DI17" s="54">
        <f>-DI$13*Assumptions!$F16</f>
        <v>-692.1565613</v>
      </c>
      <c r="DJ17" s="54">
        <f>-DJ$13*Assumptions!$F16</f>
        <v>-692.1565613</v>
      </c>
      <c r="DK17" s="54">
        <f>-DK$13*Assumptions!$F16</f>
        <v>-692.1565613</v>
      </c>
      <c r="DL17" s="54">
        <f>-DL$13*Assumptions!$F16</f>
        <v>-692.1565613</v>
      </c>
      <c r="DM17" s="54">
        <f>-DM$13*Assumptions!$F16</f>
        <v>-692.1565613</v>
      </c>
      <c r="DN17" s="54">
        <f>-DN$13*Assumptions!$F16</f>
        <v>-692.1565613</v>
      </c>
      <c r="DO17" s="54">
        <f>-DO$13*Assumptions!$F16</f>
        <v>-692.1565613</v>
      </c>
      <c r="DP17" s="54">
        <f>-DP$13*Assumptions!$F16</f>
        <v>-692.1565613</v>
      </c>
      <c r="DQ17" s="54">
        <f>-DQ$13*Assumptions!$F16</f>
        <v>-692.1565613</v>
      </c>
      <c r="DR17" s="54">
        <f>-DR$13*Assumptions!$F16</f>
        <v>-692.1565613</v>
      </c>
      <c r="DS17" s="54">
        <f>-DS$13*Assumptions!$F16</f>
        <v>-692.1565613</v>
      </c>
      <c r="DT17" s="54">
        <f>-DT$13*Assumptions!$F16</f>
        <v>-712.9212582</v>
      </c>
      <c r="DU17" s="54">
        <f>-DU$13*Assumptions!$F16</f>
        <v>-712.9212582</v>
      </c>
      <c r="DV17" s="54">
        <f>-DV$13*Assumptions!$F16</f>
        <v>-712.9212582</v>
      </c>
      <c r="DW17" s="54">
        <f>-DW$13*Assumptions!$F16</f>
        <v>-712.9212582</v>
      </c>
      <c r="DX17" s="54">
        <f>-DX$13*Assumptions!$F16</f>
        <v>-712.9212582</v>
      </c>
      <c r="DY17" s="54">
        <f>-DY$13*Assumptions!$F16</f>
        <v>-712.9212582</v>
      </c>
      <c r="DZ17" s="54">
        <f>-DZ$13*Assumptions!$F16</f>
        <v>-712.9212582</v>
      </c>
      <c r="EA17" s="54">
        <f>-EA$13*Assumptions!$F16</f>
        <v>-712.9212582</v>
      </c>
      <c r="EB17" s="54">
        <f>-EB$13*Assumptions!$F16</f>
        <v>-712.9212582</v>
      </c>
      <c r="EC17" s="54">
        <f>-EC$13*Assumptions!$F16</f>
        <v>-712.9212582</v>
      </c>
      <c r="ED17" s="54">
        <f>-ED$13*Assumptions!$F16</f>
        <v>-712.9212582</v>
      </c>
      <c r="EE17" s="54">
        <f>-EE$13*Assumptions!$F16</f>
        <v>-712.9212582</v>
      </c>
    </row>
    <row r="18" ht="15.75" customHeight="1">
      <c r="A18" s="1"/>
      <c r="B18" s="6"/>
      <c r="C18" s="63" t="s">
        <v>63</v>
      </c>
      <c r="D18" s="207">
        <f t="shared" ref="D18:EE18" si="4">D13+D15+D16+D17</f>
        <v>49334.67441</v>
      </c>
      <c r="E18" s="207">
        <f t="shared" si="4"/>
        <v>49334.67441</v>
      </c>
      <c r="F18" s="207">
        <f t="shared" si="4"/>
        <v>49334.67441</v>
      </c>
      <c r="G18" s="207">
        <f t="shared" si="4"/>
        <v>49334.67441</v>
      </c>
      <c r="H18" s="207">
        <f t="shared" si="4"/>
        <v>49334.67441</v>
      </c>
      <c r="I18" s="207">
        <f t="shared" si="4"/>
        <v>49334.67441</v>
      </c>
      <c r="J18" s="207">
        <f t="shared" si="4"/>
        <v>49334.67441</v>
      </c>
      <c r="K18" s="207">
        <f t="shared" si="4"/>
        <v>49334.67441</v>
      </c>
      <c r="L18" s="207">
        <f t="shared" si="4"/>
        <v>49334.67441</v>
      </c>
      <c r="M18" s="207">
        <f t="shared" si="4"/>
        <v>49334.67441</v>
      </c>
      <c r="N18" s="207">
        <f t="shared" si="4"/>
        <v>49334.67441</v>
      </c>
      <c r="O18" s="207">
        <f t="shared" si="4"/>
        <v>49334.67441</v>
      </c>
      <c r="P18" s="207">
        <f t="shared" si="4"/>
        <v>52453.89899</v>
      </c>
      <c r="Q18" s="207">
        <f t="shared" si="4"/>
        <v>52453.89899</v>
      </c>
      <c r="R18" s="207">
        <f t="shared" si="4"/>
        <v>52453.89899</v>
      </c>
      <c r="S18" s="207">
        <f t="shared" si="4"/>
        <v>52453.89899</v>
      </c>
      <c r="T18" s="207">
        <f t="shared" si="4"/>
        <v>52453.89899</v>
      </c>
      <c r="U18" s="207">
        <f t="shared" si="4"/>
        <v>52453.89899</v>
      </c>
      <c r="V18" s="207">
        <f t="shared" si="4"/>
        <v>52453.89899</v>
      </c>
      <c r="W18" s="207">
        <f t="shared" si="4"/>
        <v>52453.89899</v>
      </c>
      <c r="X18" s="207">
        <f t="shared" si="4"/>
        <v>52453.89899</v>
      </c>
      <c r="Y18" s="207">
        <f t="shared" si="4"/>
        <v>52453.89899</v>
      </c>
      <c r="Z18" s="207">
        <f t="shared" si="4"/>
        <v>52453.89899</v>
      </c>
      <c r="AA18" s="207">
        <f t="shared" si="4"/>
        <v>52453.89899</v>
      </c>
      <c r="AB18" s="207">
        <f t="shared" si="4"/>
        <v>54027.51596</v>
      </c>
      <c r="AC18" s="207">
        <f t="shared" si="4"/>
        <v>54027.51596</v>
      </c>
      <c r="AD18" s="207">
        <f t="shared" si="4"/>
        <v>54027.51596</v>
      </c>
      <c r="AE18" s="207">
        <f t="shared" si="4"/>
        <v>54027.51596</v>
      </c>
      <c r="AF18" s="207">
        <f t="shared" si="4"/>
        <v>54027.51596</v>
      </c>
      <c r="AG18" s="207">
        <f t="shared" si="4"/>
        <v>54027.51596</v>
      </c>
      <c r="AH18" s="207">
        <f t="shared" si="4"/>
        <v>54027.51596</v>
      </c>
      <c r="AI18" s="207">
        <f t="shared" si="4"/>
        <v>54027.51596</v>
      </c>
      <c r="AJ18" s="207">
        <f t="shared" si="4"/>
        <v>54027.51596</v>
      </c>
      <c r="AK18" s="207">
        <f t="shared" si="4"/>
        <v>54027.51596</v>
      </c>
      <c r="AL18" s="207">
        <f t="shared" si="4"/>
        <v>54027.51596</v>
      </c>
      <c r="AM18" s="207">
        <f t="shared" si="4"/>
        <v>54027.51596</v>
      </c>
      <c r="AN18" s="207">
        <f t="shared" si="4"/>
        <v>55648.34143</v>
      </c>
      <c r="AO18" s="207">
        <f t="shared" si="4"/>
        <v>55648.34143</v>
      </c>
      <c r="AP18" s="207">
        <f t="shared" si="4"/>
        <v>55648.34143</v>
      </c>
      <c r="AQ18" s="207">
        <f t="shared" si="4"/>
        <v>55648.34143</v>
      </c>
      <c r="AR18" s="207">
        <f t="shared" si="4"/>
        <v>55648.34143</v>
      </c>
      <c r="AS18" s="207">
        <f t="shared" si="4"/>
        <v>55648.34143</v>
      </c>
      <c r="AT18" s="207">
        <f t="shared" si="4"/>
        <v>55648.34143</v>
      </c>
      <c r="AU18" s="207">
        <f t="shared" si="4"/>
        <v>55648.34143</v>
      </c>
      <c r="AV18" s="207">
        <f t="shared" si="4"/>
        <v>55648.34143</v>
      </c>
      <c r="AW18" s="207">
        <f t="shared" si="4"/>
        <v>55648.34143</v>
      </c>
      <c r="AX18" s="207">
        <f t="shared" si="4"/>
        <v>55648.34143</v>
      </c>
      <c r="AY18" s="207">
        <f t="shared" si="4"/>
        <v>55648.34143</v>
      </c>
      <c r="AZ18" s="207">
        <f t="shared" si="4"/>
        <v>57317.79168</v>
      </c>
      <c r="BA18" s="207">
        <f t="shared" si="4"/>
        <v>57317.79168</v>
      </c>
      <c r="BB18" s="207">
        <f t="shared" si="4"/>
        <v>57317.79168</v>
      </c>
      <c r="BC18" s="207">
        <f t="shared" si="4"/>
        <v>57317.79168</v>
      </c>
      <c r="BD18" s="207">
        <f t="shared" si="4"/>
        <v>57317.79168</v>
      </c>
      <c r="BE18" s="207">
        <f t="shared" si="4"/>
        <v>57317.79168</v>
      </c>
      <c r="BF18" s="207">
        <f t="shared" si="4"/>
        <v>57317.79168</v>
      </c>
      <c r="BG18" s="207">
        <f t="shared" si="4"/>
        <v>57317.79168</v>
      </c>
      <c r="BH18" s="207">
        <f t="shared" si="4"/>
        <v>57317.79168</v>
      </c>
      <c r="BI18" s="207">
        <f t="shared" si="4"/>
        <v>57317.79168</v>
      </c>
      <c r="BJ18" s="207">
        <f t="shared" si="4"/>
        <v>57317.79168</v>
      </c>
      <c r="BK18" s="207">
        <f t="shared" si="4"/>
        <v>57317.79168</v>
      </c>
      <c r="BL18" s="207">
        <f t="shared" si="4"/>
        <v>59037.32543</v>
      </c>
      <c r="BM18" s="207">
        <f t="shared" si="4"/>
        <v>59037.32543</v>
      </c>
      <c r="BN18" s="207">
        <f t="shared" si="4"/>
        <v>59037.32543</v>
      </c>
      <c r="BO18" s="207">
        <f t="shared" si="4"/>
        <v>59037.32543</v>
      </c>
      <c r="BP18" s="207">
        <f t="shared" si="4"/>
        <v>59037.32543</v>
      </c>
      <c r="BQ18" s="207">
        <f t="shared" si="4"/>
        <v>59037.32543</v>
      </c>
      <c r="BR18" s="207">
        <f t="shared" si="4"/>
        <v>59037.32543</v>
      </c>
      <c r="BS18" s="207">
        <f t="shared" si="4"/>
        <v>59037.32543</v>
      </c>
      <c r="BT18" s="207">
        <f t="shared" si="4"/>
        <v>59037.32543</v>
      </c>
      <c r="BU18" s="207">
        <f t="shared" si="4"/>
        <v>59037.32543</v>
      </c>
      <c r="BV18" s="207">
        <f t="shared" si="4"/>
        <v>59037.32543</v>
      </c>
      <c r="BW18" s="207">
        <f t="shared" si="4"/>
        <v>59037.32543</v>
      </c>
      <c r="BX18" s="207">
        <f t="shared" si="4"/>
        <v>60808.44519</v>
      </c>
      <c r="BY18" s="207">
        <f t="shared" si="4"/>
        <v>60808.44519</v>
      </c>
      <c r="BZ18" s="207">
        <f t="shared" si="4"/>
        <v>60808.44519</v>
      </c>
      <c r="CA18" s="207">
        <f t="shared" si="4"/>
        <v>60808.44519</v>
      </c>
      <c r="CB18" s="207">
        <f t="shared" si="4"/>
        <v>60808.44519</v>
      </c>
      <c r="CC18" s="207">
        <f t="shared" si="4"/>
        <v>60808.44519</v>
      </c>
      <c r="CD18" s="207">
        <f t="shared" si="4"/>
        <v>60808.44519</v>
      </c>
      <c r="CE18" s="207">
        <f t="shared" si="4"/>
        <v>60808.44519</v>
      </c>
      <c r="CF18" s="207">
        <f t="shared" si="4"/>
        <v>60808.44519</v>
      </c>
      <c r="CG18" s="207">
        <f t="shared" si="4"/>
        <v>60808.44519</v>
      </c>
      <c r="CH18" s="207">
        <f t="shared" si="4"/>
        <v>60808.44519</v>
      </c>
      <c r="CI18" s="207">
        <f t="shared" si="4"/>
        <v>60808.44519</v>
      </c>
      <c r="CJ18" s="207">
        <f t="shared" si="4"/>
        <v>62632.69855</v>
      </c>
      <c r="CK18" s="207">
        <f t="shared" si="4"/>
        <v>62632.69855</v>
      </c>
      <c r="CL18" s="207">
        <f t="shared" si="4"/>
        <v>62632.69855</v>
      </c>
      <c r="CM18" s="207">
        <f t="shared" si="4"/>
        <v>62632.69855</v>
      </c>
      <c r="CN18" s="207">
        <f t="shared" si="4"/>
        <v>62632.69855</v>
      </c>
      <c r="CO18" s="207">
        <f t="shared" si="4"/>
        <v>62632.69855</v>
      </c>
      <c r="CP18" s="207">
        <f t="shared" si="4"/>
        <v>62632.69855</v>
      </c>
      <c r="CQ18" s="207">
        <f t="shared" si="4"/>
        <v>62632.69855</v>
      </c>
      <c r="CR18" s="207">
        <f t="shared" si="4"/>
        <v>62632.69855</v>
      </c>
      <c r="CS18" s="207">
        <f t="shared" si="4"/>
        <v>62632.69855</v>
      </c>
      <c r="CT18" s="207">
        <f t="shared" si="4"/>
        <v>62632.69855</v>
      </c>
      <c r="CU18" s="207">
        <f t="shared" si="4"/>
        <v>62632.69855</v>
      </c>
      <c r="CV18" s="207">
        <f t="shared" si="4"/>
        <v>64511.6795</v>
      </c>
      <c r="CW18" s="207">
        <f t="shared" si="4"/>
        <v>64511.6795</v>
      </c>
      <c r="CX18" s="207">
        <f t="shared" si="4"/>
        <v>64511.6795</v>
      </c>
      <c r="CY18" s="207">
        <f t="shared" si="4"/>
        <v>64511.6795</v>
      </c>
      <c r="CZ18" s="207">
        <f t="shared" si="4"/>
        <v>64511.6795</v>
      </c>
      <c r="DA18" s="207">
        <f t="shared" si="4"/>
        <v>64511.6795</v>
      </c>
      <c r="DB18" s="207">
        <f t="shared" si="4"/>
        <v>64511.6795</v>
      </c>
      <c r="DC18" s="207">
        <f t="shared" si="4"/>
        <v>64511.6795</v>
      </c>
      <c r="DD18" s="207">
        <f t="shared" si="4"/>
        <v>64511.6795</v>
      </c>
      <c r="DE18" s="207">
        <f t="shared" si="4"/>
        <v>64511.6795</v>
      </c>
      <c r="DF18" s="207">
        <f t="shared" si="4"/>
        <v>64511.6795</v>
      </c>
      <c r="DG18" s="207">
        <f t="shared" si="4"/>
        <v>64511.6795</v>
      </c>
      <c r="DH18" s="207">
        <f t="shared" si="4"/>
        <v>66447.02989</v>
      </c>
      <c r="DI18" s="207">
        <f t="shared" si="4"/>
        <v>66447.02989</v>
      </c>
      <c r="DJ18" s="207">
        <f t="shared" si="4"/>
        <v>66447.02989</v>
      </c>
      <c r="DK18" s="207">
        <f t="shared" si="4"/>
        <v>66447.02989</v>
      </c>
      <c r="DL18" s="207">
        <f t="shared" si="4"/>
        <v>66447.02989</v>
      </c>
      <c r="DM18" s="207">
        <f t="shared" si="4"/>
        <v>66447.02989</v>
      </c>
      <c r="DN18" s="207">
        <f t="shared" si="4"/>
        <v>66447.02989</v>
      </c>
      <c r="DO18" s="207">
        <f t="shared" si="4"/>
        <v>66447.02989</v>
      </c>
      <c r="DP18" s="207">
        <f t="shared" si="4"/>
        <v>66447.02989</v>
      </c>
      <c r="DQ18" s="207">
        <f t="shared" si="4"/>
        <v>66447.02989</v>
      </c>
      <c r="DR18" s="207">
        <f t="shared" si="4"/>
        <v>66447.02989</v>
      </c>
      <c r="DS18" s="207">
        <f t="shared" si="4"/>
        <v>66447.02989</v>
      </c>
      <c r="DT18" s="207">
        <f t="shared" si="4"/>
        <v>66301.67701</v>
      </c>
      <c r="DU18" s="207">
        <f t="shared" si="4"/>
        <v>66301.67701</v>
      </c>
      <c r="DV18" s="207">
        <f t="shared" si="4"/>
        <v>66301.67701</v>
      </c>
      <c r="DW18" s="207">
        <f t="shared" si="4"/>
        <v>66301.67701</v>
      </c>
      <c r="DX18" s="207">
        <f t="shared" si="4"/>
        <v>66301.67701</v>
      </c>
      <c r="DY18" s="207">
        <f t="shared" si="4"/>
        <v>66301.67701</v>
      </c>
      <c r="DZ18" s="207">
        <f t="shared" si="4"/>
        <v>66301.67701</v>
      </c>
      <c r="EA18" s="207">
        <f t="shared" si="4"/>
        <v>66301.67701</v>
      </c>
      <c r="EB18" s="207">
        <f t="shared" si="4"/>
        <v>66301.67701</v>
      </c>
      <c r="EC18" s="207">
        <f t="shared" si="4"/>
        <v>66301.67701</v>
      </c>
      <c r="ED18" s="207">
        <f t="shared" si="4"/>
        <v>66301.67701</v>
      </c>
      <c r="EE18" s="207">
        <f t="shared" si="4"/>
        <v>66301.67701</v>
      </c>
    </row>
    <row r="19" ht="15.75" customHeight="1">
      <c r="A19" s="1"/>
      <c r="B19" s="1"/>
      <c r="C19" s="1" t="str">
        <f>Assumptions!B19</f>
        <v>Other Income (Parking)</v>
      </c>
      <c r="D19" s="54">
        <f t="array" ref="D19">IF(D$2=1,Assumptions!$H19/12,(SUMIF($D$2:$EE$2,D$2-1,$D19:$EE19)/12)*(1+XLOOKUP(D$2,Assumptions!$C$94:$M$94,Assumptions!$C$96:$M$96)))</f>
        <v>5818.512917</v>
      </c>
      <c r="E19" s="54">
        <f t="array" ref="E19">IF(E$2=1,Assumptions!$H19/12,(SUMIF($D$2:$EE$2,E$2-1,$D19:$EE19)/12)*(1+XLOOKUP(E$2,Assumptions!$C$94:$M$94,Assumptions!$C$96:$M$96)))</f>
        <v>5818.512917</v>
      </c>
      <c r="F19" s="54">
        <f t="array" ref="F19">IF(F$2=1,Assumptions!$H19/12,(SUMIF($D$2:$EE$2,F$2-1,$D19:$EE19)/12)*(1+XLOOKUP(F$2,Assumptions!$C$94:$M$94,Assumptions!$C$96:$M$96)))</f>
        <v>5818.512917</v>
      </c>
      <c r="G19" s="54">
        <f t="array" ref="G19">IF(G$2=1,Assumptions!$H19/12,(SUMIF($D$2:$EE$2,G$2-1,$D19:$EE19)/12)*(1+XLOOKUP(G$2,Assumptions!$C$94:$M$94,Assumptions!$C$96:$M$96)))</f>
        <v>5818.512917</v>
      </c>
      <c r="H19" s="54">
        <f t="array" ref="H19">IF(H$2=1,Assumptions!$H19/12,(SUMIF($D$2:$EE$2,H$2-1,$D19:$EE19)/12)*(1+XLOOKUP(H$2,Assumptions!$C$94:$M$94,Assumptions!$C$96:$M$96)))</f>
        <v>5818.512917</v>
      </c>
      <c r="I19" s="54">
        <f t="array" ref="I19">IF(I$2=1,Assumptions!$H19/12,(SUMIF($D$2:$EE$2,I$2-1,$D19:$EE19)/12)*(1+XLOOKUP(I$2,Assumptions!$C$94:$M$94,Assumptions!$C$96:$M$96)))</f>
        <v>5818.512917</v>
      </c>
      <c r="J19" s="54">
        <f t="array" ref="J19">IF(J$2=1,Assumptions!$H19/12,(SUMIF($D$2:$EE$2,J$2-1,$D19:$EE19)/12)*(1+XLOOKUP(J$2,Assumptions!$C$94:$M$94,Assumptions!$C$96:$M$96)))</f>
        <v>5818.512917</v>
      </c>
      <c r="K19" s="54">
        <f t="array" ref="K19">IF(K$2=1,Assumptions!$H19/12,(SUMIF($D$2:$EE$2,K$2-1,$D19:$EE19)/12)*(1+XLOOKUP(K$2,Assumptions!$C$94:$M$94,Assumptions!$C$96:$M$96)))</f>
        <v>5818.512917</v>
      </c>
      <c r="L19" s="54">
        <f t="array" ref="L19">IF(L$2=1,Assumptions!$H19/12,(SUMIF($D$2:$EE$2,L$2-1,$D19:$EE19)/12)*(1+XLOOKUP(L$2,Assumptions!$C$94:$M$94,Assumptions!$C$96:$M$96)))</f>
        <v>5818.512917</v>
      </c>
      <c r="M19" s="54">
        <f t="array" ref="M19">IF(M$2=1,Assumptions!$H19/12,(SUMIF($D$2:$EE$2,M$2-1,$D19:$EE19)/12)*(1+XLOOKUP(M$2,Assumptions!$C$94:$M$94,Assumptions!$C$96:$M$96)))</f>
        <v>5818.512917</v>
      </c>
      <c r="N19" s="54">
        <f t="array" ref="N19">IF(N$2=1,Assumptions!$H19/12,(SUMIF($D$2:$EE$2,N$2-1,$D19:$EE19)/12)*(1+XLOOKUP(N$2,Assumptions!$C$94:$M$94,Assumptions!$C$96:$M$96)))</f>
        <v>5818.512917</v>
      </c>
      <c r="O19" s="54">
        <f t="array" ref="O19">IF(O$2=1,Assumptions!$H19/12,(SUMIF($D$2:$EE$2,O$2-1,$D19:$EE19)/12)*(1+XLOOKUP(O$2,Assumptions!$C$94:$M$94,Assumptions!$C$96:$M$96)))</f>
        <v>5818.512917</v>
      </c>
      <c r="P19" s="54">
        <f t="array" ref="P19">IF(P$2=1,Assumptions!$H19/12,(SUMIF($D$2:$EE$2,P$2-1,$D19:$EE19)/12)*(1+XLOOKUP(P$2,Assumptions!$C$94:$M$94,Assumptions!$C$96:$M$96)))</f>
        <v>5993.068304</v>
      </c>
      <c r="Q19" s="54">
        <f t="array" ref="Q19">IF(Q$2=1,Assumptions!$H19/12,(SUMIF($D$2:$EE$2,Q$2-1,$D19:$EE19)/12)*(1+XLOOKUP(Q$2,Assumptions!$C$94:$M$94,Assumptions!$C$96:$M$96)))</f>
        <v>5993.068304</v>
      </c>
      <c r="R19" s="54">
        <f t="array" ref="R19">IF(R$2=1,Assumptions!$H19/12,(SUMIF($D$2:$EE$2,R$2-1,$D19:$EE19)/12)*(1+XLOOKUP(R$2,Assumptions!$C$94:$M$94,Assumptions!$C$96:$M$96)))</f>
        <v>5993.068304</v>
      </c>
      <c r="S19" s="54">
        <f t="array" ref="S19">IF(S$2=1,Assumptions!$H19/12,(SUMIF($D$2:$EE$2,S$2-1,$D19:$EE19)/12)*(1+XLOOKUP(S$2,Assumptions!$C$94:$M$94,Assumptions!$C$96:$M$96)))</f>
        <v>5993.068304</v>
      </c>
      <c r="T19" s="54">
        <f t="array" ref="T19">IF(T$2=1,Assumptions!$H19/12,(SUMIF($D$2:$EE$2,T$2-1,$D19:$EE19)/12)*(1+XLOOKUP(T$2,Assumptions!$C$94:$M$94,Assumptions!$C$96:$M$96)))</f>
        <v>5993.068304</v>
      </c>
      <c r="U19" s="54">
        <f t="array" ref="U19">IF(U$2=1,Assumptions!$H19/12,(SUMIF($D$2:$EE$2,U$2-1,$D19:$EE19)/12)*(1+XLOOKUP(U$2,Assumptions!$C$94:$M$94,Assumptions!$C$96:$M$96)))</f>
        <v>5993.068304</v>
      </c>
      <c r="V19" s="54">
        <f t="array" ref="V19">IF(V$2=1,Assumptions!$H19/12,(SUMIF($D$2:$EE$2,V$2-1,$D19:$EE19)/12)*(1+XLOOKUP(V$2,Assumptions!$C$94:$M$94,Assumptions!$C$96:$M$96)))</f>
        <v>5993.068304</v>
      </c>
      <c r="W19" s="54">
        <f t="array" ref="W19">IF(W$2=1,Assumptions!$H19/12,(SUMIF($D$2:$EE$2,W$2-1,$D19:$EE19)/12)*(1+XLOOKUP(W$2,Assumptions!$C$94:$M$94,Assumptions!$C$96:$M$96)))</f>
        <v>5993.068304</v>
      </c>
      <c r="X19" s="54">
        <f t="array" ref="X19">IF(X$2=1,Assumptions!$H19/12,(SUMIF($D$2:$EE$2,X$2-1,$D19:$EE19)/12)*(1+XLOOKUP(X$2,Assumptions!$C$94:$M$94,Assumptions!$C$96:$M$96)))</f>
        <v>5993.068304</v>
      </c>
      <c r="Y19" s="54">
        <f t="array" ref="Y19">IF(Y$2=1,Assumptions!$H19/12,(SUMIF($D$2:$EE$2,Y$2-1,$D19:$EE19)/12)*(1+XLOOKUP(Y$2,Assumptions!$C$94:$M$94,Assumptions!$C$96:$M$96)))</f>
        <v>5993.068304</v>
      </c>
      <c r="Z19" s="54">
        <f t="array" ref="Z19">IF(Z$2=1,Assumptions!$H19/12,(SUMIF($D$2:$EE$2,Z$2-1,$D19:$EE19)/12)*(1+XLOOKUP(Z$2,Assumptions!$C$94:$M$94,Assumptions!$C$96:$M$96)))</f>
        <v>5993.068304</v>
      </c>
      <c r="AA19" s="54">
        <f t="array" ref="AA19">IF(AA$2=1,Assumptions!$H19/12,(SUMIF($D$2:$EE$2,AA$2-1,$D19:$EE19)/12)*(1+XLOOKUP(AA$2,Assumptions!$C$94:$M$94,Assumptions!$C$96:$M$96)))</f>
        <v>5993.068304</v>
      </c>
      <c r="AB19" s="54">
        <f t="array" ref="AB19">IF(AB$2=1,Assumptions!$H19/12,(SUMIF($D$2:$EE$2,AB$2-1,$D19:$EE19)/12)*(1+XLOOKUP(AB$2,Assumptions!$C$94:$M$94,Assumptions!$C$96:$M$96)))</f>
        <v>6172.860353</v>
      </c>
      <c r="AC19" s="54">
        <f t="array" ref="AC19">IF(AC$2=1,Assumptions!$H19/12,(SUMIF($D$2:$EE$2,AC$2-1,$D19:$EE19)/12)*(1+XLOOKUP(AC$2,Assumptions!$C$94:$M$94,Assumptions!$C$96:$M$96)))</f>
        <v>6172.860353</v>
      </c>
      <c r="AD19" s="54">
        <f t="array" ref="AD19">IF(AD$2=1,Assumptions!$H19/12,(SUMIF($D$2:$EE$2,AD$2-1,$D19:$EE19)/12)*(1+XLOOKUP(AD$2,Assumptions!$C$94:$M$94,Assumptions!$C$96:$M$96)))</f>
        <v>6172.860353</v>
      </c>
      <c r="AE19" s="54">
        <f t="array" ref="AE19">IF(AE$2=1,Assumptions!$H19/12,(SUMIF($D$2:$EE$2,AE$2-1,$D19:$EE19)/12)*(1+XLOOKUP(AE$2,Assumptions!$C$94:$M$94,Assumptions!$C$96:$M$96)))</f>
        <v>6172.860353</v>
      </c>
      <c r="AF19" s="54">
        <f t="array" ref="AF19">IF(AF$2=1,Assumptions!$H19/12,(SUMIF($D$2:$EE$2,AF$2-1,$D19:$EE19)/12)*(1+XLOOKUP(AF$2,Assumptions!$C$94:$M$94,Assumptions!$C$96:$M$96)))</f>
        <v>6172.860353</v>
      </c>
      <c r="AG19" s="54">
        <f t="array" ref="AG19">IF(AG$2=1,Assumptions!$H19/12,(SUMIF($D$2:$EE$2,AG$2-1,$D19:$EE19)/12)*(1+XLOOKUP(AG$2,Assumptions!$C$94:$M$94,Assumptions!$C$96:$M$96)))</f>
        <v>6172.860353</v>
      </c>
      <c r="AH19" s="54">
        <f t="array" ref="AH19">IF(AH$2=1,Assumptions!$H19/12,(SUMIF($D$2:$EE$2,AH$2-1,$D19:$EE19)/12)*(1+XLOOKUP(AH$2,Assumptions!$C$94:$M$94,Assumptions!$C$96:$M$96)))</f>
        <v>6172.860353</v>
      </c>
      <c r="AI19" s="54">
        <f t="array" ref="AI19">IF(AI$2=1,Assumptions!$H19/12,(SUMIF($D$2:$EE$2,AI$2-1,$D19:$EE19)/12)*(1+XLOOKUP(AI$2,Assumptions!$C$94:$M$94,Assumptions!$C$96:$M$96)))</f>
        <v>6172.860353</v>
      </c>
      <c r="AJ19" s="54">
        <f t="array" ref="AJ19">IF(AJ$2=1,Assumptions!$H19/12,(SUMIF($D$2:$EE$2,AJ$2-1,$D19:$EE19)/12)*(1+XLOOKUP(AJ$2,Assumptions!$C$94:$M$94,Assumptions!$C$96:$M$96)))</f>
        <v>6172.860353</v>
      </c>
      <c r="AK19" s="54">
        <f t="array" ref="AK19">IF(AK$2=1,Assumptions!$H19/12,(SUMIF($D$2:$EE$2,AK$2-1,$D19:$EE19)/12)*(1+XLOOKUP(AK$2,Assumptions!$C$94:$M$94,Assumptions!$C$96:$M$96)))</f>
        <v>6172.860353</v>
      </c>
      <c r="AL19" s="54">
        <f t="array" ref="AL19">IF(AL$2=1,Assumptions!$H19/12,(SUMIF($D$2:$EE$2,AL$2-1,$D19:$EE19)/12)*(1+XLOOKUP(AL$2,Assumptions!$C$94:$M$94,Assumptions!$C$96:$M$96)))</f>
        <v>6172.860353</v>
      </c>
      <c r="AM19" s="54">
        <f t="array" ref="AM19">IF(AM$2=1,Assumptions!$H19/12,(SUMIF($D$2:$EE$2,AM$2-1,$D19:$EE19)/12)*(1+XLOOKUP(AM$2,Assumptions!$C$94:$M$94,Assumptions!$C$96:$M$96)))</f>
        <v>6172.860353</v>
      </c>
      <c r="AN19" s="54">
        <f t="array" ref="AN19">IF(AN$2=1,Assumptions!$H19/12,(SUMIF($D$2:$EE$2,AN$2-1,$D19:$EE19)/12)*(1+XLOOKUP(AN$2,Assumptions!$C$94:$M$94,Assumptions!$C$96:$M$96)))</f>
        <v>6358.046164</v>
      </c>
      <c r="AO19" s="54">
        <f t="array" ref="AO19">IF(AO$2=1,Assumptions!$H19/12,(SUMIF($D$2:$EE$2,AO$2-1,$D19:$EE19)/12)*(1+XLOOKUP(AO$2,Assumptions!$C$94:$M$94,Assumptions!$C$96:$M$96)))</f>
        <v>6358.046164</v>
      </c>
      <c r="AP19" s="54">
        <f t="array" ref="AP19">IF(AP$2=1,Assumptions!$H19/12,(SUMIF($D$2:$EE$2,AP$2-1,$D19:$EE19)/12)*(1+XLOOKUP(AP$2,Assumptions!$C$94:$M$94,Assumptions!$C$96:$M$96)))</f>
        <v>6358.046164</v>
      </c>
      <c r="AQ19" s="54">
        <f t="array" ref="AQ19">IF(AQ$2=1,Assumptions!$H19/12,(SUMIF($D$2:$EE$2,AQ$2-1,$D19:$EE19)/12)*(1+XLOOKUP(AQ$2,Assumptions!$C$94:$M$94,Assumptions!$C$96:$M$96)))</f>
        <v>6358.046164</v>
      </c>
      <c r="AR19" s="54">
        <f t="array" ref="AR19">IF(AR$2=1,Assumptions!$H19/12,(SUMIF($D$2:$EE$2,AR$2-1,$D19:$EE19)/12)*(1+XLOOKUP(AR$2,Assumptions!$C$94:$M$94,Assumptions!$C$96:$M$96)))</f>
        <v>6358.046164</v>
      </c>
      <c r="AS19" s="54">
        <f t="array" ref="AS19">IF(AS$2=1,Assumptions!$H19/12,(SUMIF($D$2:$EE$2,AS$2-1,$D19:$EE19)/12)*(1+XLOOKUP(AS$2,Assumptions!$C$94:$M$94,Assumptions!$C$96:$M$96)))</f>
        <v>6358.046164</v>
      </c>
      <c r="AT19" s="54">
        <f t="array" ref="AT19">IF(AT$2=1,Assumptions!$H19/12,(SUMIF($D$2:$EE$2,AT$2-1,$D19:$EE19)/12)*(1+XLOOKUP(AT$2,Assumptions!$C$94:$M$94,Assumptions!$C$96:$M$96)))</f>
        <v>6358.046164</v>
      </c>
      <c r="AU19" s="54">
        <f t="array" ref="AU19">IF(AU$2=1,Assumptions!$H19/12,(SUMIF($D$2:$EE$2,AU$2-1,$D19:$EE19)/12)*(1+XLOOKUP(AU$2,Assumptions!$C$94:$M$94,Assumptions!$C$96:$M$96)))</f>
        <v>6358.046164</v>
      </c>
      <c r="AV19" s="54">
        <f t="array" ref="AV19">IF(AV$2=1,Assumptions!$H19/12,(SUMIF($D$2:$EE$2,AV$2-1,$D19:$EE19)/12)*(1+XLOOKUP(AV$2,Assumptions!$C$94:$M$94,Assumptions!$C$96:$M$96)))</f>
        <v>6358.046164</v>
      </c>
      <c r="AW19" s="54">
        <f t="array" ref="AW19">IF(AW$2=1,Assumptions!$H19/12,(SUMIF($D$2:$EE$2,AW$2-1,$D19:$EE19)/12)*(1+XLOOKUP(AW$2,Assumptions!$C$94:$M$94,Assumptions!$C$96:$M$96)))</f>
        <v>6358.046164</v>
      </c>
      <c r="AX19" s="54">
        <f t="array" ref="AX19">IF(AX$2=1,Assumptions!$H19/12,(SUMIF($D$2:$EE$2,AX$2-1,$D19:$EE19)/12)*(1+XLOOKUP(AX$2,Assumptions!$C$94:$M$94,Assumptions!$C$96:$M$96)))</f>
        <v>6358.046164</v>
      </c>
      <c r="AY19" s="54">
        <f t="array" ref="AY19">IF(AY$2=1,Assumptions!$H19/12,(SUMIF($D$2:$EE$2,AY$2-1,$D19:$EE19)/12)*(1+XLOOKUP(AY$2,Assumptions!$C$94:$M$94,Assumptions!$C$96:$M$96)))</f>
        <v>6358.046164</v>
      </c>
      <c r="AZ19" s="54">
        <f t="array" ref="AZ19">IF(AZ$2=1,Assumptions!$H19/12,(SUMIF($D$2:$EE$2,AZ$2-1,$D19:$EE19)/12)*(1+XLOOKUP(AZ$2,Assumptions!$C$94:$M$94,Assumptions!$C$96:$M$96)))</f>
        <v>6548.787549</v>
      </c>
      <c r="BA19" s="54">
        <f t="array" ref="BA19">IF(BA$2=1,Assumptions!$H19/12,(SUMIF($D$2:$EE$2,BA$2-1,$D19:$EE19)/12)*(1+XLOOKUP(BA$2,Assumptions!$C$94:$M$94,Assumptions!$C$96:$M$96)))</f>
        <v>6548.787549</v>
      </c>
      <c r="BB19" s="54">
        <f t="array" ref="BB19">IF(BB$2=1,Assumptions!$H19/12,(SUMIF($D$2:$EE$2,BB$2-1,$D19:$EE19)/12)*(1+XLOOKUP(BB$2,Assumptions!$C$94:$M$94,Assumptions!$C$96:$M$96)))</f>
        <v>6548.787549</v>
      </c>
      <c r="BC19" s="54">
        <f t="array" ref="BC19">IF(BC$2=1,Assumptions!$H19/12,(SUMIF($D$2:$EE$2,BC$2-1,$D19:$EE19)/12)*(1+XLOOKUP(BC$2,Assumptions!$C$94:$M$94,Assumptions!$C$96:$M$96)))</f>
        <v>6548.787549</v>
      </c>
      <c r="BD19" s="54">
        <f t="array" ref="BD19">IF(BD$2=1,Assumptions!$H19/12,(SUMIF($D$2:$EE$2,BD$2-1,$D19:$EE19)/12)*(1+XLOOKUP(BD$2,Assumptions!$C$94:$M$94,Assumptions!$C$96:$M$96)))</f>
        <v>6548.787549</v>
      </c>
      <c r="BE19" s="54">
        <f t="array" ref="BE19">IF(BE$2=1,Assumptions!$H19/12,(SUMIF($D$2:$EE$2,BE$2-1,$D19:$EE19)/12)*(1+XLOOKUP(BE$2,Assumptions!$C$94:$M$94,Assumptions!$C$96:$M$96)))</f>
        <v>6548.787549</v>
      </c>
      <c r="BF19" s="54">
        <f t="array" ref="BF19">IF(BF$2=1,Assumptions!$H19/12,(SUMIF($D$2:$EE$2,BF$2-1,$D19:$EE19)/12)*(1+XLOOKUP(BF$2,Assumptions!$C$94:$M$94,Assumptions!$C$96:$M$96)))</f>
        <v>6548.787549</v>
      </c>
      <c r="BG19" s="54">
        <f t="array" ref="BG19">IF(BG$2=1,Assumptions!$H19/12,(SUMIF($D$2:$EE$2,BG$2-1,$D19:$EE19)/12)*(1+XLOOKUP(BG$2,Assumptions!$C$94:$M$94,Assumptions!$C$96:$M$96)))</f>
        <v>6548.787549</v>
      </c>
      <c r="BH19" s="54">
        <f t="array" ref="BH19">IF(BH$2=1,Assumptions!$H19/12,(SUMIF($D$2:$EE$2,BH$2-1,$D19:$EE19)/12)*(1+XLOOKUP(BH$2,Assumptions!$C$94:$M$94,Assumptions!$C$96:$M$96)))</f>
        <v>6548.787549</v>
      </c>
      <c r="BI19" s="54">
        <f t="array" ref="BI19">IF(BI$2=1,Assumptions!$H19/12,(SUMIF($D$2:$EE$2,BI$2-1,$D19:$EE19)/12)*(1+XLOOKUP(BI$2,Assumptions!$C$94:$M$94,Assumptions!$C$96:$M$96)))</f>
        <v>6548.787549</v>
      </c>
      <c r="BJ19" s="54">
        <f t="array" ref="BJ19">IF(BJ$2=1,Assumptions!$H19/12,(SUMIF($D$2:$EE$2,BJ$2-1,$D19:$EE19)/12)*(1+XLOOKUP(BJ$2,Assumptions!$C$94:$M$94,Assumptions!$C$96:$M$96)))</f>
        <v>6548.787549</v>
      </c>
      <c r="BK19" s="54">
        <f t="array" ref="BK19">IF(BK$2=1,Assumptions!$H19/12,(SUMIF($D$2:$EE$2,BK$2-1,$D19:$EE19)/12)*(1+XLOOKUP(BK$2,Assumptions!$C$94:$M$94,Assumptions!$C$96:$M$96)))</f>
        <v>6548.787549</v>
      </c>
      <c r="BL19" s="54">
        <f t="array" ref="BL19">IF(BL$2=1,Assumptions!$H19/12,(SUMIF($D$2:$EE$2,BL$2-1,$D19:$EE19)/12)*(1+XLOOKUP(BL$2,Assumptions!$C$94:$M$94,Assumptions!$C$96:$M$96)))</f>
        <v>6745.251175</v>
      </c>
      <c r="BM19" s="54">
        <f t="array" ref="BM19">IF(BM$2=1,Assumptions!$H19/12,(SUMIF($D$2:$EE$2,BM$2-1,$D19:$EE19)/12)*(1+XLOOKUP(BM$2,Assumptions!$C$94:$M$94,Assumptions!$C$96:$M$96)))</f>
        <v>6745.251175</v>
      </c>
      <c r="BN19" s="54">
        <f t="array" ref="BN19">IF(BN$2=1,Assumptions!$H19/12,(SUMIF($D$2:$EE$2,BN$2-1,$D19:$EE19)/12)*(1+XLOOKUP(BN$2,Assumptions!$C$94:$M$94,Assumptions!$C$96:$M$96)))</f>
        <v>6745.251175</v>
      </c>
      <c r="BO19" s="54">
        <f t="array" ref="BO19">IF(BO$2=1,Assumptions!$H19/12,(SUMIF($D$2:$EE$2,BO$2-1,$D19:$EE19)/12)*(1+XLOOKUP(BO$2,Assumptions!$C$94:$M$94,Assumptions!$C$96:$M$96)))</f>
        <v>6745.251175</v>
      </c>
      <c r="BP19" s="54">
        <f t="array" ref="BP19">IF(BP$2=1,Assumptions!$H19/12,(SUMIF($D$2:$EE$2,BP$2-1,$D19:$EE19)/12)*(1+XLOOKUP(BP$2,Assumptions!$C$94:$M$94,Assumptions!$C$96:$M$96)))</f>
        <v>6745.251175</v>
      </c>
      <c r="BQ19" s="54">
        <f t="array" ref="BQ19">IF(BQ$2=1,Assumptions!$H19/12,(SUMIF($D$2:$EE$2,BQ$2-1,$D19:$EE19)/12)*(1+XLOOKUP(BQ$2,Assumptions!$C$94:$M$94,Assumptions!$C$96:$M$96)))</f>
        <v>6745.251175</v>
      </c>
      <c r="BR19" s="54">
        <f t="array" ref="BR19">IF(BR$2=1,Assumptions!$H19/12,(SUMIF($D$2:$EE$2,BR$2-1,$D19:$EE19)/12)*(1+XLOOKUP(BR$2,Assumptions!$C$94:$M$94,Assumptions!$C$96:$M$96)))</f>
        <v>6745.251175</v>
      </c>
      <c r="BS19" s="54">
        <f t="array" ref="BS19">IF(BS$2=1,Assumptions!$H19/12,(SUMIF($D$2:$EE$2,BS$2-1,$D19:$EE19)/12)*(1+XLOOKUP(BS$2,Assumptions!$C$94:$M$94,Assumptions!$C$96:$M$96)))</f>
        <v>6745.251175</v>
      </c>
      <c r="BT19" s="54">
        <f t="array" ref="BT19">IF(BT$2=1,Assumptions!$H19/12,(SUMIF($D$2:$EE$2,BT$2-1,$D19:$EE19)/12)*(1+XLOOKUP(BT$2,Assumptions!$C$94:$M$94,Assumptions!$C$96:$M$96)))</f>
        <v>6745.251175</v>
      </c>
      <c r="BU19" s="54">
        <f t="array" ref="BU19">IF(BU$2=1,Assumptions!$H19/12,(SUMIF($D$2:$EE$2,BU$2-1,$D19:$EE19)/12)*(1+XLOOKUP(BU$2,Assumptions!$C$94:$M$94,Assumptions!$C$96:$M$96)))</f>
        <v>6745.251175</v>
      </c>
      <c r="BV19" s="54">
        <f t="array" ref="BV19">IF(BV$2=1,Assumptions!$H19/12,(SUMIF($D$2:$EE$2,BV$2-1,$D19:$EE19)/12)*(1+XLOOKUP(BV$2,Assumptions!$C$94:$M$94,Assumptions!$C$96:$M$96)))</f>
        <v>6745.251175</v>
      </c>
      <c r="BW19" s="54">
        <f t="array" ref="BW19">IF(BW$2=1,Assumptions!$H19/12,(SUMIF($D$2:$EE$2,BW$2-1,$D19:$EE19)/12)*(1+XLOOKUP(BW$2,Assumptions!$C$94:$M$94,Assumptions!$C$96:$M$96)))</f>
        <v>6745.251175</v>
      </c>
      <c r="BX19" s="54">
        <f t="array" ref="BX19">IF(BX$2=1,Assumptions!$H19/12,(SUMIF($D$2:$EE$2,BX$2-1,$D19:$EE19)/12)*(1+XLOOKUP(BX$2,Assumptions!$C$94:$M$94,Assumptions!$C$96:$M$96)))</f>
        <v>6947.608711</v>
      </c>
      <c r="BY19" s="54">
        <f t="array" ref="BY19">IF(BY$2=1,Assumptions!$H19/12,(SUMIF($D$2:$EE$2,BY$2-1,$D19:$EE19)/12)*(1+XLOOKUP(BY$2,Assumptions!$C$94:$M$94,Assumptions!$C$96:$M$96)))</f>
        <v>6947.608711</v>
      </c>
      <c r="BZ19" s="54">
        <f t="array" ref="BZ19">IF(BZ$2=1,Assumptions!$H19/12,(SUMIF($D$2:$EE$2,BZ$2-1,$D19:$EE19)/12)*(1+XLOOKUP(BZ$2,Assumptions!$C$94:$M$94,Assumptions!$C$96:$M$96)))</f>
        <v>6947.608711</v>
      </c>
      <c r="CA19" s="54">
        <f t="array" ref="CA19">IF(CA$2=1,Assumptions!$H19/12,(SUMIF($D$2:$EE$2,CA$2-1,$D19:$EE19)/12)*(1+XLOOKUP(CA$2,Assumptions!$C$94:$M$94,Assumptions!$C$96:$M$96)))</f>
        <v>6947.608711</v>
      </c>
      <c r="CB19" s="54">
        <f t="array" ref="CB19">IF(CB$2=1,Assumptions!$H19/12,(SUMIF($D$2:$EE$2,CB$2-1,$D19:$EE19)/12)*(1+XLOOKUP(CB$2,Assumptions!$C$94:$M$94,Assumptions!$C$96:$M$96)))</f>
        <v>6947.608711</v>
      </c>
      <c r="CC19" s="54">
        <f t="array" ref="CC19">IF(CC$2=1,Assumptions!$H19/12,(SUMIF($D$2:$EE$2,CC$2-1,$D19:$EE19)/12)*(1+XLOOKUP(CC$2,Assumptions!$C$94:$M$94,Assumptions!$C$96:$M$96)))</f>
        <v>6947.608711</v>
      </c>
      <c r="CD19" s="54">
        <f t="array" ref="CD19">IF(CD$2=1,Assumptions!$H19/12,(SUMIF($D$2:$EE$2,CD$2-1,$D19:$EE19)/12)*(1+XLOOKUP(CD$2,Assumptions!$C$94:$M$94,Assumptions!$C$96:$M$96)))</f>
        <v>6947.608711</v>
      </c>
      <c r="CE19" s="54">
        <f t="array" ref="CE19">IF(CE$2=1,Assumptions!$H19/12,(SUMIF($D$2:$EE$2,CE$2-1,$D19:$EE19)/12)*(1+XLOOKUP(CE$2,Assumptions!$C$94:$M$94,Assumptions!$C$96:$M$96)))</f>
        <v>6947.608711</v>
      </c>
      <c r="CF19" s="54">
        <f t="array" ref="CF19">IF(CF$2=1,Assumptions!$H19/12,(SUMIF($D$2:$EE$2,CF$2-1,$D19:$EE19)/12)*(1+XLOOKUP(CF$2,Assumptions!$C$94:$M$94,Assumptions!$C$96:$M$96)))</f>
        <v>6947.608711</v>
      </c>
      <c r="CG19" s="54">
        <f t="array" ref="CG19">IF(CG$2=1,Assumptions!$H19/12,(SUMIF($D$2:$EE$2,CG$2-1,$D19:$EE19)/12)*(1+XLOOKUP(CG$2,Assumptions!$C$94:$M$94,Assumptions!$C$96:$M$96)))</f>
        <v>6947.608711</v>
      </c>
      <c r="CH19" s="54">
        <f t="array" ref="CH19">IF(CH$2=1,Assumptions!$H19/12,(SUMIF($D$2:$EE$2,CH$2-1,$D19:$EE19)/12)*(1+XLOOKUP(CH$2,Assumptions!$C$94:$M$94,Assumptions!$C$96:$M$96)))</f>
        <v>6947.608711</v>
      </c>
      <c r="CI19" s="54">
        <f t="array" ref="CI19">IF(CI$2=1,Assumptions!$H19/12,(SUMIF($D$2:$EE$2,CI$2-1,$D19:$EE19)/12)*(1+XLOOKUP(CI$2,Assumptions!$C$94:$M$94,Assumptions!$C$96:$M$96)))</f>
        <v>6947.608711</v>
      </c>
      <c r="CJ19" s="54">
        <f t="array" ref="CJ19">IF(CJ$2=1,Assumptions!$H19/12,(SUMIF($D$2:$EE$2,CJ$2-1,$D19:$EE19)/12)*(1+XLOOKUP(CJ$2,Assumptions!$C$94:$M$94,Assumptions!$C$96:$M$96)))</f>
        <v>7156.036972</v>
      </c>
      <c r="CK19" s="54">
        <f t="array" ref="CK19">IF(CK$2=1,Assumptions!$H19/12,(SUMIF($D$2:$EE$2,CK$2-1,$D19:$EE19)/12)*(1+XLOOKUP(CK$2,Assumptions!$C$94:$M$94,Assumptions!$C$96:$M$96)))</f>
        <v>7156.036972</v>
      </c>
      <c r="CL19" s="54">
        <f t="array" ref="CL19">IF(CL$2=1,Assumptions!$H19/12,(SUMIF($D$2:$EE$2,CL$2-1,$D19:$EE19)/12)*(1+XLOOKUP(CL$2,Assumptions!$C$94:$M$94,Assumptions!$C$96:$M$96)))</f>
        <v>7156.036972</v>
      </c>
      <c r="CM19" s="54">
        <f t="array" ref="CM19">IF(CM$2=1,Assumptions!$H19/12,(SUMIF($D$2:$EE$2,CM$2-1,$D19:$EE19)/12)*(1+XLOOKUP(CM$2,Assumptions!$C$94:$M$94,Assumptions!$C$96:$M$96)))</f>
        <v>7156.036972</v>
      </c>
      <c r="CN19" s="54">
        <f t="array" ref="CN19">IF(CN$2=1,Assumptions!$H19/12,(SUMIF($D$2:$EE$2,CN$2-1,$D19:$EE19)/12)*(1+XLOOKUP(CN$2,Assumptions!$C$94:$M$94,Assumptions!$C$96:$M$96)))</f>
        <v>7156.036972</v>
      </c>
      <c r="CO19" s="54">
        <f t="array" ref="CO19">IF(CO$2=1,Assumptions!$H19/12,(SUMIF($D$2:$EE$2,CO$2-1,$D19:$EE19)/12)*(1+XLOOKUP(CO$2,Assumptions!$C$94:$M$94,Assumptions!$C$96:$M$96)))</f>
        <v>7156.036972</v>
      </c>
      <c r="CP19" s="54">
        <f t="array" ref="CP19">IF(CP$2=1,Assumptions!$H19/12,(SUMIF($D$2:$EE$2,CP$2-1,$D19:$EE19)/12)*(1+XLOOKUP(CP$2,Assumptions!$C$94:$M$94,Assumptions!$C$96:$M$96)))</f>
        <v>7156.036972</v>
      </c>
      <c r="CQ19" s="54">
        <f t="array" ref="CQ19">IF(CQ$2=1,Assumptions!$H19/12,(SUMIF($D$2:$EE$2,CQ$2-1,$D19:$EE19)/12)*(1+XLOOKUP(CQ$2,Assumptions!$C$94:$M$94,Assumptions!$C$96:$M$96)))</f>
        <v>7156.036972</v>
      </c>
      <c r="CR19" s="54">
        <f t="array" ref="CR19">IF(CR$2=1,Assumptions!$H19/12,(SUMIF($D$2:$EE$2,CR$2-1,$D19:$EE19)/12)*(1+XLOOKUP(CR$2,Assumptions!$C$94:$M$94,Assumptions!$C$96:$M$96)))</f>
        <v>7156.036972</v>
      </c>
      <c r="CS19" s="54">
        <f t="array" ref="CS19">IF(CS$2=1,Assumptions!$H19/12,(SUMIF($D$2:$EE$2,CS$2-1,$D19:$EE19)/12)*(1+XLOOKUP(CS$2,Assumptions!$C$94:$M$94,Assumptions!$C$96:$M$96)))</f>
        <v>7156.036972</v>
      </c>
      <c r="CT19" s="54">
        <f t="array" ref="CT19">IF(CT$2=1,Assumptions!$H19/12,(SUMIF($D$2:$EE$2,CT$2-1,$D19:$EE19)/12)*(1+XLOOKUP(CT$2,Assumptions!$C$94:$M$94,Assumptions!$C$96:$M$96)))</f>
        <v>7156.036972</v>
      </c>
      <c r="CU19" s="54">
        <f t="array" ref="CU19">IF(CU$2=1,Assumptions!$H19/12,(SUMIF($D$2:$EE$2,CU$2-1,$D19:$EE19)/12)*(1+XLOOKUP(CU$2,Assumptions!$C$94:$M$94,Assumptions!$C$96:$M$96)))</f>
        <v>7156.036972</v>
      </c>
      <c r="CV19" s="54">
        <f t="array" ref="CV19">IF(CV$2=1,Assumptions!$H19/12,(SUMIF($D$2:$EE$2,CV$2-1,$D19:$EE19)/12)*(1+XLOOKUP(CV$2,Assumptions!$C$94:$M$94,Assumptions!$C$96:$M$96)))</f>
        <v>7370.718081</v>
      </c>
      <c r="CW19" s="54">
        <f t="array" ref="CW19">IF(CW$2=1,Assumptions!$H19/12,(SUMIF($D$2:$EE$2,CW$2-1,$D19:$EE19)/12)*(1+XLOOKUP(CW$2,Assumptions!$C$94:$M$94,Assumptions!$C$96:$M$96)))</f>
        <v>7370.718081</v>
      </c>
      <c r="CX19" s="54">
        <f t="array" ref="CX19">IF(CX$2=1,Assumptions!$H19/12,(SUMIF($D$2:$EE$2,CX$2-1,$D19:$EE19)/12)*(1+XLOOKUP(CX$2,Assumptions!$C$94:$M$94,Assumptions!$C$96:$M$96)))</f>
        <v>7370.718081</v>
      </c>
      <c r="CY19" s="54">
        <f t="array" ref="CY19">IF(CY$2=1,Assumptions!$H19/12,(SUMIF($D$2:$EE$2,CY$2-1,$D19:$EE19)/12)*(1+XLOOKUP(CY$2,Assumptions!$C$94:$M$94,Assumptions!$C$96:$M$96)))</f>
        <v>7370.718081</v>
      </c>
      <c r="CZ19" s="54">
        <f t="array" ref="CZ19">IF(CZ$2=1,Assumptions!$H19/12,(SUMIF($D$2:$EE$2,CZ$2-1,$D19:$EE19)/12)*(1+XLOOKUP(CZ$2,Assumptions!$C$94:$M$94,Assumptions!$C$96:$M$96)))</f>
        <v>7370.718081</v>
      </c>
      <c r="DA19" s="54">
        <f t="array" ref="DA19">IF(DA$2=1,Assumptions!$H19/12,(SUMIF($D$2:$EE$2,DA$2-1,$D19:$EE19)/12)*(1+XLOOKUP(DA$2,Assumptions!$C$94:$M$94,Assumptions!$C$96:$M$96)))</f>
        <v>7370.718081</v>
      </c>
      <c r="DB19" s="54">
        <f t="array" ref="DB19">IF(DB$2=1,Assumptions!$H19/12,(SUMIF($D$2:$EE$2,DB$2-1,$D19:$EE19)/12)*(1+XLOOKUP(DB$2,Assumptions!$C$94:$M$94,Assumptions!$C$96:$M$96)))</f>
        <v>7370.718081</v>
      </c>
      <c r="DC19" s="54">
        <f t="array" ref="DC19">IF(DC$2=1,Assumptions!$H19/12,(SUMIF($D$2:$EE$2,DC$2-1,$D19:$EE19)/12)*(1+XLOOKUP(DC$2,Assumptions!$C$94:$M$94,Assumptions!$C$96:$M$96)))</f>
        <v>7370.718081</v>
      </c>
      <c r="DD19" s="54">
        <f t="array" ref="DD19">IF(DD$2=1,Assumptions!$H19/12,(SUMIF($D$2:$EE$2,DD$2-1,$D19:$EE19)/12)*(1+XLOOKUP(DD$2,Assumptions!$C$94:$M$94,Assumptions!$C$96:$M$96)))</f>
        <v>7370.718081</v>
      </c>
      <c r="DE19" s="54">
        <f t="array" ref="DE19">IF(DE$2=1,Assumptions!$H19/12,(SUMIF($D$2:$EE$2,DE$2-1,$D19:$EE19)/12)*(1+XLOOKUP(DE$2,Assumptions!$C$94:$M$94,Assumptions!$C$96:$M$96)))</f>
        <v>7370.718081</v>
      </c>
      <c r="DF19" s="54">
        <f t="array" ref="DF19">IF(DF$2=1,Assumptions!$H19/12,(SUMIF($D$2:$EE$2,DF$2-1,$D19:$EE19)/12)*(1+XLOOKUP(DF$2,Assumptions!$C$94:$M$94,Assumptions!$C$96:$M$96)))</f>
        <v>7370.718081</v>
      </c>
      <c r="DG19" s="54">
        <f t="array" ref="DG19">IF(DG$2=1,Assumptions!$H19/12,(SUMIF($D$2:$EE$2,DG$2-1,$D19:$EE19)/12)*(1+XLOOKUP(DG$2,Assumptions!$C$94:$M$94,Assumptions!$C$96:$M$96)))</f>
        <v>7370.718081</v>
      </c>
      <c r="DH19" s="54">
        <f t="array" ref="DH19">IF(DH$2=1,Assumptions!$H19/12,(SUMIF($D$2:$EE$2,DH$2-1,$D19:$EE19)/12)*(1+XLOOKUP(DH$2,Assumptions!$C$94:$M$94,Assumptions!$C$96:$M$96)))</f>
        <v>7591.839623</v>
      </c>
      <c r="DI19" s="54">
        <f t="array" ref="DI19">IF(DI$2=1,Assumptions!$H19/12,(SUMIF($D$2:$EE$2,DI$2-1,$D19:$EE19)/12)*(1+XLOOKUP(DI$2,Assumptions!$C$94:$M$94,Assumptions!$C$96:$M$96)))</f>
        <v>7591.839623</v>
      </c>
      <c r="DJ19" s="54">
        <f t="array" ref="DJ19">IF(DJ$2=1,Assumptions!$H19/12,(SUMIF($D$2:$EE$2,DJ$2-1,$D19:$EE19)/12)*(1+XLOOKUP(DJ$2,Assumptions!$C$94:$M$94,Assumptions!$C$96:$M$96)))</f>
        <v>7591.839623</v>
      </c>
      <c r="DK19" s="54">
        <f t="array" ref="DK19">IF(DK$2=1,Assumptions!$H19/12,(SUMIF($D$2:$EE$2,DK$2-1,$D19:$EE19)/12)*(1+XLOOKUP(DK$2,Assumptions!$C$94:$M$94,Assumptions!$C$96:$M$96)))</f>
        <v>7591.839623</v>
      </c>
      <c r="DL19" s="54">
        <f t="array" ref="DL19">IF(DL$2=1,Assumptions!$H19/12,(SUMIF($D$2:$EE$2,DL$2-1,$D19:$EE19)/12)*(1+XLOOKUP(DL$2,Assumptions!$C$94:$M$94,Assumptions!$C$96:$M$96)))</f>
        <v>7591.839623</v>
      </c>
      <c r="DM19" s="54">
        <f t="array" ref="DM19">IF(DM$2=1,Assumptions!$H19/12,(SUMIF($D$2:$EE$2,DM$2-1,$D19:$EE19)/12)*(1+XLOOKUP(DM$2,Assumptions!$C$94:$M$94,Assumptions!$C$96:$M$96)))</f>
        <v>7591.839623</v>
      </c>
      <c r="DN19" s="54">
        <f t="array" ref="DN19">IF(DN$2=1,Assumptions!$H19/12,(SUMIF($D$2:$EE$2,DN$2-1,$D19:$EE19)/12)*(1+XLOOKUP(DN$2,Assumptions!$C$94:$M$94,Assumptions!$C$96:$M$96)))</f>
        <v>7591.839623</v>
      </c>
      <c r="DO19" s="54">
        <f t="array" ref="DO19">IF(DO$2=1,Assumptions!$H19/12,(SUMIF($D$2:$EE$2,DO$2-1,$D19:$EE19)/12)*(1+XLOOKUP(DO$2,Assumptions!$C$94:$M$94,Assumptions!$C$96:$M$96)))</f>
        <v>7591.839623</v>
      </c>
      <c r="DP19" s="54">
        <f t="array" ref="DP19">IF(DP$2=1,Assumptions!$H19/12,(SUMIF($D$2:$EE$2,DP$2-1,$D19:$EE19)/12)*(1+XLOOKUP(DP$2,Assumptions!$C$94:$M$94,Assumptions!$C$96:$M$96)))</f>
        <v>7591.839623</v>
      </c>
      <c r="DQ19" s="54">
        <f t="array" ref="DQ19">IF(DQ$2=1,Assumptions!$H19/12,(SUMIF($D$2:$EE$2,DQ$2-1,$D19:$EE19)/12)*(1+XLOOKUP(DQ$2,Assumptions!$C$94:$M$94,Assumptions!$C$96:$M$96)))</f>
        <v>7591.839623</v>
      </c>
      <c r="DR19" s="54">
        <f t="array" ref="DR19">IF(DR$2=1,Assumptions!$H19/12,(SUMIF($D$2:$EE$2,DR$2-1,$D19:$EE19)/12)*(1+XLOOKUP(DR$2,Assumptions!$C$94:$M$94,Assumptions!$C$96:$M$96)))</f>
        <v>7591.839623</v>
      </c>
      <c r="DS19" s="54">
        <f t="array" ref="DS19">IF(DS$2=1,Assumptions!$H19/12,(SUMIF($D$2:$EE$2,DS$2-1,$D19:$EE19)/12)*(1+XLOOKUP(DS$2,Assumptions!$C$94:$M$94,Assumptions!$C$96:$M$96)))</f>
        <v>7591.839623</v>
      </c>
      <c r="DT19" s="54">
        <f t="array" ref="DT19">IF(DT$2=1,Assumptions!$H19/12,(SUMIF($D$2:$EE$2,DT$2-1,$D19:$EE19)/12)*(1+XLOOKUP(DT$2,Assumptions!$C$94:$M$94,Assumptions!$C$96:$M$96)))</f>
        <v>7819.594812</v>
      </c>
      <c r="DU19" s="54">
        <f t="array" ref="DU19">IF(DU$2=1,Assumptions!$H19/12,(SUMIF($D$2:$EE$2,DU$2-1,$D19:$EE19)/12)*(1+XLOOKUP(DU$2,Assumptions!$C$94:$M$94,Assumptions!$C$96:$M$96)))</f>
        <v>7819.594812</v>
      </c>
      <c r="DV19" s="54">
        <f t="array" ref="DV19">IF(DV$2=1,Assumptions!$H19/12,(SUMIF($D$2:$EE$2,DV$2-1,$D19:$EE19)/12)*(1+XLOOKUP(DV$2,Assumptions!$C$94:$M$94,Assumptions!$C$96:$M$96)))</f>
        <v>7819.594812</v>
      </c>
      <c r="DW19" s="54">
        <f t="array" ref="DW19">IF(DW$2=1,Assumptions!$H19/12,(SUMIF($D$2:$EE$2,DW$2-1,$D19:$EE19)/12)*(1+XLOOKUP(DW$2,Assumptions!$C$94:$M$94,Assumptions!$C$96:$M$96)))</f>
        <v>7819.594812</v>
      </c>
      <c r="DX19" s="54">
        <f t="array" ref="DX19">IF(DX$2=1,Assumptions!$H19/12,(SUMIF($D$2:$EE$2,DX$2-1,$D19:$EE19)/12)*(1+XLOOKUP(DX$2,Assumptions!$C$94:$M$94,Assumptions!$C$96:$M$96)))</f>
        <v>7819.594812</v>
      </c>
      <c r="DY19" s="54">
        <f t="array" ref="DY19">IF(DY$2=1,Assumptions!$H19/12,(SUMIF($D$2:$EE$2,DY$2-1,$D19:$EE19)/12)*(1+XLOOKUP(DY$2,Assumptions!$C$94:$M$94,Assumptions!$C$96:$M$96)))</f>
        <v>7819.594812</v>
      </c>
      <c r="DZ19" s="54">
        <f t="array" ref="DZ19">IF(DZ$2=1,Assumptions!$H19/12,(SUMIF($D$2:$EE$2,DZ$2-1,$D19:$EE19)/12)*(1+XLOOKUP(DZ$2,Assumptions!$C$94:$M$94,Assumptions!$C$96:$M$96)))</f>
        <v>7819.594812</v>
      </c>
      <c r="EA19" s="54">
        <f t="array" ref="EA19">IF(EA$2=1,Assumptions!$H19/12,(SUMIF($D$2:$EE$2,EA$2-1,$D19:$EE19)/12)*(1+XLOOKUP(EA$2,Assumptions!$C$94:$M$94,Assumptions!$C$96:$M$96)))</f>
        <v>7819.594812</v>
      </c>
      <c r="EB19" s="54">
        <f t="array" ref="EB19">IF(EB$2=1,Assumptions!$H19/12,(SUMIF($D$2:$EE$2,EB$2-1,$D19:$EE19)/12)*(1+XLOOKUP(EB$2,Assumptions!$C$94:$M$94,Assumptions!$C$96:$M$96)))</f>
        <v>7819.594812</v>
      </c>
      <c r="EC19" s="54">
        <f t="array" ref="EC19">IF(EC$2=1,Assumptions!$H19/12,(SUMIF($D$2:$EE$2,EC$2-1,$D19:$EE19)/12)*(1+XLOOKUP(EC$2,Assumptions!$C$94:$M$94,Assumptions!$C$96:$M$96)))</f>
        <v>7819.594812</v>
      </c>
      <c r="ED19" s="54">
        <f t="array" ref="ED19">IF(ED$2=1,Assumptions!$H19/12,(SUMIF($D$2:$EE$2,ED$2-1,$D19:$EE19)/12)*(1+XLOOKUP(ED$2,Assumptions!$C$94:$M$94,Assumptions!$C$96:$M$96)))</f>
        <v>7819.594812</v>
      </c>
      <c r="EE19" s="54">
        <f t="array" ref="EE19">IF(EE$2=1,Assumptions!$H19/12,(SUMIF($D$2:$EE$2,EE$2-1,$D19:$EE19)/12)*(1+XLOOKUP(EE$2,Assumptions!$C$94:$M$94,Assumptions!$C$96:$M$96)))</f>
        <v>7819.594812</v>
      </c>
    </row>
    <row r="20" ht="15.75" customHeight="1">
      <c r="A20" s="1"/>
      <c r="B20" s="1"/>
      <c r="C20" s="1" t="str">
        <f>Assumptions!B20</f>
        <v>Utility Reimburshment (w/o Electricity)</v>
      </c>
      <c r="D20" s="54">
        <f>-D$27*(1+Assumptions!$E$21)*IF(D2&lt;Assumptions!$F$21,0,1)</f>
        <v>0</v>
      </c>
      <c r="E20" s="54">
        <f>-E$27*(1+Assumptions!$E$21)*IF(E2&lt;Assumptions!$F$21,0,1)</f>
        <v>0</v>
      </c>
      <c r="F20" s="54">
        <f>-F$27*(1+Assumptions!$E$21)*IF(F2&lt;Assumptions!$F$21,0,1)</f>
        <v>0</v>
      </c>
      <c r="G20" s="54">
        <f>-G$27*(1+Assumptions!$E$21)*IF(G2&lt;Assumptions!$F$21,0,1)</f>
        <v>0</v>
      </c>
      <c r="H20" s="54">
        <f>-H$27*(1+Assumptions!$E$21)*IF(H2&lt;Assumptions!$F$21,0,1)</f>
        <v>0</v>
      </c>
      <c r="I20" s="54">
        <f>-I$27*(1+Assumptions!$E$21)*IF(I2&lt;Assumptions!$F$21,0,1)</f>
        <v>0</v>
      </c>
      <c r="J20" s="54">
        <f>-J$27*(1+Assumptions!$E$21)*IF(J2&lt;Assumptions!$F$21,0,1)</f>
        <v>0</v>
      </c>
      <c r="K20" s="54">
        <f>-K$27*(1+Assumptions!$E$21)*IF(K2&lt;Assumptions!$F$21,0,1)</f>
        <v>0</v>
      </c>
      <c r="L20" s="54">
        <f>-L$27*(1+Assumptions!$E$21)*IF(L2&lt;Assumptions!$F$21,0,1)</f>
        <v>0</v>
      </c>
      <c r="M20" s="54">
        <f>-M$27*(1+Assumptions!$E$21)*IF(M2&lt;Assumptions!$F$21,0,1)</f>
        <v>0</v>
      </c>
      <c r="N20" s="54">
        <f>-N$27*(1+Assumptions!$E$21)*IF(N2&lt;Assumptions!$F$21,0,1)</f>
        <v>0</v>
      </c>
      <c r="O20" s="54">
        <f>-O$27*(1+Assumptions!$E$21)*IF(O2&lt;Assumptions!$F$21,0,1)</f>
        <v>0</v>
      </c>
      <c r="P20" s="54">
        <f>-P$27*(1+Assumptions!$E$21)*IF(P2&lt;Assumptions!$F$21,0,1)</f>
        <v>2060.348031</v>
      </c>
      <c r="Q20" s="54">
        <f>-Q$27*(1+Assumptions!$E$21)*IF(Q2&lt;Assumptions!$F$21,0,1)</f>
        <v>2060.348031</v>
      </c>
      <c r="R20" s="54">
        <f>-R$27*(1+Assumptions!$E$21)*IF(R2&lt;Assumptions!$F$21,0,1)</f>
        <v>2060.348031</v>
      </c>
      <c r="S20" s="54">
        <f>-S$27*(1+Assumptions!$E$21)*IF(S2&lt;Assumptions!$F$21,0,1)</f>
        <v>2060.348031</v>
      </c>
      <c r="T20" s="54">
        <f>-T$27*(1+Assumptions!$E$21)*IF(T2&lt;Assumptions!$F$21,0,1)</f>
        <v>2060.348031</v>
      </c>
      <c r="U20" s="54">
        <f>-U$27*(1+Assumptions!$E$21)*IF(U2&lt;Assumptions!$F$21,0,1)</f>
        <v>2060.348031</v>
      </c>
      <c r="V20" s="54">
        <f>-V$27*(1+Assumptions!$E$21)*IF(V2&lt;Assumptions!$F$21,0,1)</f>
        <v>2060.348031</v>
      </c>
      <c r="W20" s="54">
        <f>-W$27*(1+Assumptions!$E$21)*IF(W2&lt;Assumptions!$F$21,0,1)</f>
        <v>2060.348031</v>
      </c>
      <c r="X20" s="54">
        <f>-X$27*(1+Assumptions!$E$21)*IF(X2&lt;Assumptions!$F$21,0,1)</f>
        <v>2060.348031</v>
      </c>
      <c r="Y20" s="54">
        <f>-Y$27*(1+Assumptions!$E$21)*IF(Y2&lt;Assumptions!$F$21,0,1)</f>
        <v>2060.348031</v>
      </c>
      <c r="Z20" s="54">
        <f>-Z$27*(1+Assumptions!$E$21)*IF(Z2&lt;Assumptions!$F$21,0,1)</f>
        <v>2060.348031</v>
      </c>
      <c r="AA20" s="54">
        <f>-AA$27*(1+Assumptions!$E$21)*IF(AA2&lt;Assumptions!$F$21,0,1)</f>
        <v>2060.348031</v>
      </c>
      <c r="AB20" s="54">
        <f>-AB$27*(1+Assumptions!$E$21)*IF(AB2&lt;Assumptions!$F$21,0,1)</f>
        <v>2122.158471</v>
      </c>
      <c r="AC20" s="54">
        <f>-AC$27*(1+Assumptions!$E$21)*IF(AC2&lt;Assumptions!$F$21,0,1)</f>
        <v>2122.158471</v>
      </c>
      <c r="AD20" s="54">
        <f>-AD$27*(1+Assumptions!$E$21)*IF(AD2&lt;Assumptions!$F$21,0,1)</f>
        <v>2122.158471</v>
      </c>
      <c r="AE20" s="54">
        <f>-AE$27*(1+Assumptions!$E$21)*IF(AE2&lt;Assumptions!$F$21,0,1)</f>
        <v>2122.158471</v>
      </c>
      <c r="AF20" s="54">
        <f>-AF$27*(1+Assumptions!$E$21)*IF(AF2&lt;Assumptions!$F$21,0,1)</f>
        <v>2122.158471</v>
      </c>
      <c r="AG20" s="54">
        <f>-AG$27*(1+Assumptions!$E$21)*IF(AG2&lt;Assumptions!$F$21,0,1)</f>
        <v>2122.158471</v>
      </c>
      <c r="AH20" s="54">
        <f>-AH$27*(1+Assumptions!$E$21)*IF(AH2&lt;Assumptions!$F$21,0,1)</f>
        <v>2122.158471</v>
      </c>
      <c r="AI20" s="54">
        <f>-AI$27*(1+Assumptions!$E$21)*IF(AI2&lt;Assumptions!$F$21,0,1)</f>
        <v>2122.158471</v>
      </c>
      <c r="AJ20" s="54">
        <f>-AJ$27*(1+Assumptions!$E$21)*IF(AJ2&lt;Assumptions!$F$21,0,1)</f>
        <v>2122.158471</v>
      </c>
      <c r="AK20" s="54">
        <f>-AK$27*(1+Assumptions!$E$21)*IF(AK2&lt;Assumptions!$F$21,0,1)</f>
        <v>2122.158471</v>
      </c>
      <c r="AL20" s="54">
        <f>-AL$27*(1+Assumptions!$E$21)*IF(AL2&lt;Assumptions!$F$21,0,1)</f>
        <v>2122.158471</v>
      </c>
      <c r="AM20" s="54">
        <f>-AM$27*(1+Assumptions!$E$21)*IF(AM2&lt;Assumptions!$F$21,0,1)</f>
        <v>2122.158471</v>
      </c>
      <c r="AN20" s="54">
        <f>-AN$27*(1+Assumptions!$E$21)*IF(AN2&lt;Assumptions!$F$21,0,1)</f>
        <v>2185.823226</v>
      </c>
      <c r="AO20" s="54">
        <f>-AO$27*(1+Assumptions!$E$21)*IF(AO2&lt;Assumptions!$F$21,0,1)</f>
        <v>2185.823226</v>
      </c>
      <c r="AP20" s="54">
        <f>-AP$27*(1+Assumptions!$E$21)*IF(AP2&lt;Assumptions!$F$21,0,1)</f>
        <v>2185.823226</v>
      </c>
      <c r="AQ20" s="54">
        <f>-AQ$27*(1+Assumptions!$E$21)*IF(AQ2&lt;Assumptions!$F$21,0,1)</f>
        <v>2185.823226</v>
      </c>
      <c r="AR20" s="54">
        <f>-AR$27*(1+Assumptions!$E$21)*IF(AR2&lt;Assumptions!$F$21,0,1)</f>
        <v>2185.823226</v>
      </c>
      <c r="AS20" s="54">
        <f>-AS$27*(1+Assumptions!$E$21)*IF(AS2&lt;Assumptions!$F$21,0,1)</f>
        <v>2185.823226</v>
      </c>
      <c r="AT20" s="54">
        <f>-AT$27*(1+Assumptions!$E$21)*IF(AT2&lt;Assumptions!$F$21,0,1)</f>
        <v>2185.823226</v>
      </c>
      <c r="AU20" s="54">
        <f>-AU$27*(1+Assumptions!$E$21)*IF(AU2&lt;Assumptions!$F$21,0,1)</f>
        <v>2185.823226</v>
      </c>
      <c r="AV20" s="54">
        <f>-AV$27*(1+Assumptions!$E$21)*IF(AV2&lt;Assumptions!$F$21,0,1)</f>
        <v>2185.823226</v>
      </c>
      <c r="AW20" s="54">
        <f>-AW$27*(1+Assumptions!$E$21)*IF(AW2&lt;Assumptions!$F$21,0,1)</f>
        <v>2185.823226</v>
      </c>
      <c r="AX20" s="54">
        <f>-AX$27*(1+Assumptions!$E$21)*IF(AX2&lt;Assumptions!$F$21,0,1)</f>
        <v>2185.823226</v>
      </c>
      <c r="AY20" s="54">
        <f>-AY$27*(1+Assumptions!$E$21)*IF(AY2&lt;Assumptions!$F$21,0,1)</f>
        <v>2185.823226</v>
      </c>
      <c r="AZ20" s="54">
        <f>-AZ$27*(1+Assumptions!$E$21)*IF(AZ2&lt;Assumptions!$F$21,0,1)</f>
        <v>2251.397922</v>
      </c>
      <c r="BA20" s="54">
        <f>-BA$27*(1+Assumptions!$E$21)*IF(BA2&lt;Assumptions!$F$21,0,1)</f>
        <v>2251.397922</v>
      </c>
      <c r="BB20" s="54">
        <f>-BB$27*(1+Assumptions!$E$21)*IF(BB2&lt;Assumptions!$F$21,0,1)</f>
        <v>2251.397922</v>
      </c>
      <c r="BC20" s="54">
        <f>-BC$27*(1+Assumptions!$E$21)*IF(BC2&lt;Assumptions!$F$21,0,1)</f>
        <v>2251.397922</v>
      </c>
      <c r="BD20" s="54">
        <f>-BD$27*(1+Assumptions!$E$21)*IF(BD2&lt;Assumptions!$F$21,0,1)</f>
        <v>2251.397922</v>
      </c>
      <c r="BE20" s="54">
        <f>-BE$27*(1+Assumptions!$E$21)*IF(BE2&lt;Assumptions!$F$21,0,1)</f>
        <v>2251.397922</v>
      </c>
      <c r="BF20" s="54">
        <f>-BF$27*(1+Assumptions!$E$21)*IF(BF2&lt;Assumptions!$F$21,0,1)</f>
        <v>2251.397922</v>
      </c>
      <c r="BG20" s="54">
        <f>-BG$27*(1+Assumptions!$E$21)*IF(BG2&lt;Assumptions!$F$21,0,1)</f>
        <v>2251.397922</v>
      </c>
      <c r="BH20" s="54">
        <f>-BH$27*(1+Assumptions!$E$21)*IF(BH2&lt;Assumptions!$F$21,0,1)</f>
        <v>2251.397922</v>
      </c>
      <c r="BI20" s="54">
        <f>-BI$27*(1+Assumptions!$E$21)*IF(BI2&lt;Assumptions!$F$21,0,1)</f>
        <v>2251.397922</v>
      </c>
      <c r="BJ20" s="54">
        <f>-BJ$27*(1+Assumptions!$E$21)*IF(BJ2&lt;Assumptions!$F$21,0,1)</f>
        <v>2251.397922</v>
      </c>
      <c r="BK20" s="54">
        <f>-BK$27*(1+Assumptions!$E$21)*IF(BK2&lt;Assumptions!$F$21,0,1)</f>
        <v>2251.397922</v>
      </c>
      <c r="BL20" s="54">
        <f>-BL$27*(1+Assumptions!$E$21)*IF(BL2&lt;Assumptions!$F$21,0,1)</f>
        <v>2318.93986</v>
      </c>
      <c r="BM20" s="54">
        <f>-BM$27*(1+Assumptions!$E$21)*IF(BM2&lt;Assumptions!$F$21,0,1)</f>
        <v>2318.93986</v>
      </c>
      <c r="BN20" s="54">
        <f>-BN$27*(1+Assumptions!$E$21)*IF(BN2&lt;Assumptions!$F$21,0,1)</f>
        <v>2318.93986</v>
      </c>
      <c r="BO20" s="54">
        <f>-BO$27*(1+Assumptions!$E$21)*IF(BO2&lt;Assumptions!$F$21,0,1)</f>
        <v>2318.93986</v>
      </c>
      <c r="BP20" s="54">
        <f>-BP$27*(1+Assumptions!$E$21)*IF(BP2&lt;Assumptions!$F$21,0,1)</f>
        <v>2318.93986</v>
      </c>
      <c r="BQ20" s="54">
        <f>-BQ$27*(1+Assumptions!$E$21)*IF(BQ2&lt;Assumptions!$F$21,0,1)</f>
        <v>2318.93986</v>
      </c>
      <c r="BR20" s="54">
        <f>-BR$27*(1+Assumptions!$E$21)*IF(BR2&lt;Assumptions!$F$21,0,1)</f>
        <v>2318.93986</v>
      </c>
      <c r="BS20" s="54">
        <f>-BS$27*(1+Assumptions!$E$21)*IF(BS2&lt;Assumptions!$F$21,0,1)</f>
        <v>2318.93986</v>
      </c>
      <c r="BT20" s="54">
        <f>-BT$27*(1+Assumptions!$E$21)*IF(BT2&lt;Assumptions!$F$21,0,1)</f>
        <v>2318.93986</v>
      </c>
      <c r="BU20" s="54">
        <f>-BU$27*(1+Assumptions!$E$21)*IF(BU2&lt;Assumptions!$F$21,0,1)</f>
        <v>2318.93986</v>
      </c>
      <c r="BV20" s="54">
        <f>-BV$27*(1+Assumptions!$E$21)*IF(BV2&lt;Assumptions!$F$21,0,1)</f>
        <v>2318.93986</v>
      </c>
      <c r="BW20" s="54">
        <f>-BW$27*(1+Assumptions!$E$21)*IF(BW2&lt;Assumptions!$F$21,0,1)</f>
        <v>2318.93986</v>
      </c>
      <c r="BX20" s="54">
        <f>-BX$27*(1+Assumptions!$E$21)*IF(BX2&lt;Assumptions!$F$21,0,1)</f>
        <v>2388.508056</v>
      </c>
      <c r="BY20" s="54">
        <f>-BY$27*(1+Assumptions!$E$21)*IF(BY2&lt;Assumptions!$F$21,0,1)</f>
        <v>2388.508056</v>
      </c>
      <c r="BZ20" s="54">
        <f>-BZ$27*(1+Assumptions!$E$21)*IF(BZ2&lt;Assumptions!$F$21,0,1)</f>
        <v>2388.508056</v>
      </c>
      <c r="CA20" s="54">
        <f>-CA$27*(1+Assumptions!$E$21)*IF(CA2&lt;Assumptions!$F$21,0,1)</f>
        <v>2388.508056</v>
      </c>
      <c r="CB20" s="54">
        <f>-CB$27*(1+Assumptions!$E$21)*IF(CB2&lt;Assumptions!$F$21,0,1)</f>
        <v>2388.508056</v>
      </c>
      <c r="CC20" s="54">
        <f>-CC$27*(1+Assumptions!$E$21)*IF(CC2&lt;Assumptions!$F$21,0,1)</f>
        <v>2388.508056</v>
      </c>
      <c r="CD20" s="54">
        <f>-CD$27*(1+Assumptions!$E$21)*IF(CD2&lt;Assumptions!$F$21,0,1)</f>
        <v>2388.508056</v>
      </c>
      <c r="CE20" s="54">
        <f>-CE$27*(1+Assumptions!$E$21)*IF(CE2&lt;Assumptions!$F$21,0,1)</f>
        <v>2388.508056</v>
      </c>
      <c r="CF20" s="54">
        <f>-CF$27*(1+Assumptions!$E$21)*IF(CF2&lt;Assumptions!$F$21,0,1)</f>
        <v>2388.508056</v>
      </c>
      <c r="CG20" s="54">
        <f>-CG$27*(1+Assumptions!$E$21)*IF(CG2&lt;Assumptions!$F$21,0,1)</f>
        <v>2388.508056</v>
      </c>
      <c r="CH20" s="54">
        <f>-CH$27*(1+Assumptions!$E$21)*IF(CH2&lt;Assumptions!$F$21,0,1)</f>
        <v>2388.508056</v>
      </c>
      <c r="CI20" s="54">
        <f>-CI$27*(1+Assumptions!$E$21)*IF(CI2&lt;Assumptions!$F$21,0,1)</f>
        <v>2388.508056</v>
      </c>
      <c r="CJ20" s="54">
        <f>-CJ$27*(1+Assumptions!$E$21)*IF(CJ2&lt;Assumptions!$F$21,0,1)</f>
        <v>2460.163298</v>
      </c>
      <c r="CK20" s="54">
        <f>-CK$27*(1+Assumptions!$E$21)*IF(CK2&lt;Assumptions!$F$21,0,1)</f>
        <v>2460.163298</v>
      </c>
      <c r="CL20" s="54">
        <f>-CL$27*(1+Assumptions!$E$21)*IF(CL2&lt;Assumptions!$F$21,0,1)</f>
        <v>2460.163298</v>
      </c>
      <c r="CM20" s="54">
        <f>-CM$27*(1+Assumptions!$E$21)*IF(CM2&lt;Assumptions!$F$21,0,1)</f>
        <v>2460.163298</v>
      </c>
      <c r="CN20" s="54">
        <f>-CN$27*(1+Assumptions!$E$21)*IF(CN2&lt;Assumptions!$F$21,0,1)</f>
        <v>2460.163298</v>
      </c>
      <c r="CO20" s="54">
        <f>-CO$27*(1+Assumptions!$E$21)*IF(CO2&lt;Assumptions!$F$21,0,1)</f>
        <v>2460.163298</v>
      </c>
      <c r="CP20" s="54">
        <f>-CP$27*(1+Assumptions!$E$21)*IF(CP2&lt;Assumptions!$F$21,0,1)</f>
        <v>2460.163298</v>
      </c>
      <c r="CQ20" s="54">
        <f>-CQ$27*(1+Assumptions!$E$21)*IF(CQ2&lt;Assumptions!$F$21,0,1)</f>
        <v>2460.163298</v>
      </c>
      <c r="CR20" s="54">
        <f>-CR$27*(1+Assumptions!$E$21)*IF(CR2&lt;Assumptions!$F$21,0,1)</f>
        <v>2460.163298</v>
      </c>
      <c r="CS20" s="54">
        <f>-CS$27*(1+Assumptions!$E$21)*IF(CS2&lt;Assumptions!$F$21,0,1)</f>
        <v>2460.163298</v>
      </c>
      <c r="CT20" s="54">
        <f>-CT$27*(1+Assumptions!$E$21)*IF(CT2&lt;Assumptions!$F$21,0,1)</f>
        <v>2460.163298</v>
      </c>
      <c r="CU20" s="54">
        <f>-CU$27*(1+Assumptions!$E$21)*IF(CU2&lt;Assumptions!$F$21,0,1)</f>
        <v>2460.163298</v>
      </c>
      <c r="CV20" s="54">
        <f>-CV$27*(1+Assumptions!$E$21)*IF(CV2&lt;Assumptions!$F$21,0,1)</f>
        <v>2533.968196</v>
      </c>
      <c r="CW20" s="54">
        <f>-CW$27*(1+Assumptions!$E$21)*IF(CW2&lt;Assumptions!$F$21,0,1)</f>
        <v>2533.968196</v>
      </c>
      <c r="CX20" s="54">
        <f>-CX$27*(1+Assumptions!$E$21)*IF(CX2&lt;Assumptions!$F$21,0,1)</f>
        <v>2533.968196</v>
      </c>
      <c r="CY20" s="54">
        <f>-CY$27*(1+Assumptions!$E$21)*IF(CY2&lt;Assumptions!$F$21,0,1)</f>
        <v>2533.968196</v>
      </c>
      <c r="CZ20" s="54">
        <f>-CZ$27*(1+Assumptions!$E$21)*IF(CZ2&lt;Assumptions!$F$21,0,1)</f>
        <v>2533.968196</v>
      </c>
      <c r="DA20" s="54">
        <f>-DA$27*(1+Assumptions!$E$21)*IF(DA2&lt;Assumptions!$F$21,0,1)</f>
        <v>2533.968196</v>
      </c>
      <c r="DB20" s="54">
        <f>-DB$27*(1+Assumptions!$E$21)*IF(DB2&lt;Assumptions!$F$21,0,1)</f>
        <v>2533.968196</v>
      </c>
      <c r="DC20" s="54">
        <f>-DC$27*(1+Assumptions!$E$21)*IF(DC2&lt;Assumptions!$F$21,0,1)</f>
        <v>2533.968196</v>
      </c>
      <c r="DD20" s="54">
        <f>-DD$27*(1+Assumptions!$E$21)*IF(DD2&lt;Assumptions!$F$21,0,1)</f>
        <v>2533.968196</v>
      </c>
      <c r="DE20" s="54">
        <f>-DE$27*(1+Assumptions!$E$21)*IF(DE2&lt;Assumptions!$F$21,0,1)</f>
        <v>2533.968196</v>
      </c>
      <c r="DF20" s="54">
        <f>-DF$27*(1+Assumptions!$E$21)*IF(DF2&lt;Assumptions!$F$21,0,1)</f>
        <v>2533.968196</v>
      </c>
      <c r="DG20" s="54">
        <f>-DG$27*(1+Assumptions!$E$21)*IF(DG2&lt;Assumptions!$F$21,0,1)</f>
        <v>2533.968196</v>
      </c>
      <c r="DH20" s="54">
        <f>-DH$27*(1+Assumptions!$E$21)*IF(DH2&lt;Assumptions!$F$21,0,1)</f>
        <v>2609.987242</v>
      </c>
      <c r="DI20" s="54">
        <f>-DI$27*(1+Assumptions!$E$21)*IF(DI2&lt;Assumptions!$F$21,0,1)</f>
        <v>2609.987242</v>
      </c>
      <c r="DJ20" s="54">
        <f>-DJ$27*(1+Assumptions!$E$21)*IF(DJ2&lt;Assumptions!$F$21,0,1)</f>
        <v>2609.987242</v>
      </c>
      <c r="DK20" s="54">
        <f>-DK$27*(1+Assumptions!$E$21)*IF(DK2&lt;Assumptions!$F$21,0,1)</f>
        <v>2609.987242</v>
      </c>
      <c r="DL20" s="54">
        <f>-DL$27*(1+Assumptions!$E$21)*IF(DL2&lt;Assumptions!$F$21,0,1)</f>
        <v>2609.987242</v>
      </c>
      <c r="DM20" s="54">
        <f>-DM$27*(1+Assumptions!$E$21)*IF(DM2&lt;Assumptions!$F$21,0,1)</f>
        <v>2609.987242</v>
      </c>
      <c r="DN20" s="54">
        <f>-DN$27*(1+Assumptions!$E$21)*IF(DN2&lt;Assumptions!$F$21,0,1)</f>
        <v>2609.987242</v>
      </c>
      <c r="DO20" s="54">
        <f>-DO$27*(1+Assumptions!$E$21)*IF(DO2&lt;Assumptions!$F$21,0,1)</f>
        <v>2609.987242</v>
      </c>
      <c r="DP20" s="54">
        <f>-DP$27*(1+Assumptions!$E$21)*IF(DP2&lt;Assumptions!$F$21,0,1)</f>
        <v>2609.987242</v>
      </c>
      <c r="DQ20" s="54">
        <f>-DQ$27*(1+Assumptions!$E$21)*IF(DQ2&lt;Assumptions!$F$21,0,1)</f>
        <v>2609.987242</v>
      </c>
      <c r="DR20" s="54">
        <f>-DR$27*(1+Assumptions!$E$21)*IF(DR2&lt;Assumptions!$F$21,0,1)</f>
        <v>2609.987242</v>
      </c>
      <c r="DS20" s="54">
        <f>-DS$27*(1+Assumptions!$E$21)*IF(DS2&lt;Assumptions!$F$21,0,1)</f>
        <v>2609.987242</v>
      </c>
      <c r="DT20" s="54">
        <f>-DT$27*(1+Assumptions!$E$21)*IF(DT2&lt;Assumptions!$F$21,0,1)</f>
        <v>2688.28686</v>
      </c>
      <c r="DU20" s="54">
        <f>-DU$27*(1+Assumptions!$E$21)*IF(DU2&lt;Assumptions!$F$21,0,1)</f>
        <v>2688.28686</v>
      </c>
      <c r="DV20" s="54">
        <f>-DV$27*(1+Assumptions!$E$21)*IF(DV2&lt;Assumptions!$F$21,0,1)</f>
        <v>2688.28686</v>
      </c>
      <c r="DW20" s="54">
        <f>-DW$27*(1+Assumptions!$E$21)*IF(DW2&lt;Assumptions!$F$21,0,1)</f>
        <v>2688.28686</v>
      </c>
      <c r="DX20" s="54">
        <f>-DX$27*(1+Assumptions!$E$21)*IF(DX2&lt;Assumptions!$F$21,0,1)</f>
        <v>2688.28686</v>
      </c>
      <c r="DY20" s="54">
        <f>-DY$27*(1+Assumptions!$E$21)*IF(DY2&lt;Assumptions!$F$21,0,1)</f>
        <v>2688.28686</v>
      </c>
      <c r="DZ20" s="54">
        <f>-DZ$27*(1+Assumptions!$E$21)*IF(DZ2&lt;Assumptions!$F$21,0,1)</f>
        <v>2688.28686</v>
      </c>
      <c r="EA20" s="54">
        <f>-EA$27*(1+Assumptions!$E$21)*IF(EA2&lt;Assumptions!$F$21,0,1)</f>
        <v>2688.28686</v>
      </c>
      <c r="EB20" s="54">
        <f>-EB$27*(1+Assumptions!$E$21)*IF(EB2&lt;Assumptions!$F$21,0,1)</f>
        <v>2688.28686</v>
      </c>
      <c r="EC20" s="54">
        <f>-EC$27*(1+Assumptions!$E$21)*IF(EC2&lt;Assumptions!$F$21,0,1)</f>
        <v>2688.28686</v>
      </c>
      <c r="ED20" s="54">
        <f>-ED$27*(1+Assumptions!$E$21)*IF(ED2&lt;Assumptions!$F$21,0,1)</f>
        <v>2688.28686</v>
      </c>
      <c r="EE20" s="54">
        <f>-EE$27*(1+Assumptions!$E$21)*IF(EE2&lt;Assumptions!$F$21,0,1)</f>
        <v>2688.28686</v>
      </c>
    </row>
    <row r="21" ht="15.75" customHeight="1">
      <c r="A21" s="1"/>
      <c r="B21" s="47" t="s">
        <v>68</v>
      </c>
      <c r="C21" s="47"/>
      <c r="D21" s="213">
        <f t="shared" ref="D21:EE21" si="5">SUM(D18:D20)</f>
        <v>55153.18733</v>
      </c>
      <c r="E21" s="213">
        <f t="shared" si="5"/>
        <v>55153.18733</v>
      </c>
      <c r="F21" s="213">
        <f t="shared" si="5"/>
        <v>55153.18733</v>
      </c>
      <c r="G21" s="213">
        <f t="shared" si="5"/>
        <v>55153.18733</v>
      </c>
      <c r="H21" s="213">
        <f t="shared" si="5"/>
        <v>55153.18733</v>
      </c>
      <c r="I21" s="213">
        <f t="shared" si="5"/>
        <v>55153.18733</v>
      </c>
      <c r="J21" s="213">
        <f t="shared" si="5"/>
        <v>55153.18733</v>
      </c>
      <c r="K21" s="213">
        <f t="shared" si="5"/>
        <v>55153.18733</v>
      </c>
      <c r="L21" s="213">
        <f t="shared" si="5"/>
        <v>55153.18733</v>
      </c>
      <c r="M21" s="213">
        <f t="shared" si="5"/>
        <v>55153.18733</v>
      </c>
      <c r="N21" s="213">
        <f t="shared" si="5"/>
        <v>55153.18733</v>
      </c>
      <c r="O21" s="213">
        <f t="shared" si="5"/>
        <v>55153.18733</v>
      </c>
      <c r="P21" s="213">
        <f t="shared" si="5"/>
        <v>60507.31532</v>
      </c>
      <c r="Q21" s="213">
        <f t="shared" si="5"/>
        <v>60507.31532</v>
      </c>
      <c r="R21" s="213">
        <f t="shared" si="5"/>
        <v>60507.31532</v>
      </c>
      <c r="S21" s="213">
        <f t="shared" si="5"/>
        <v>60507.31532</v>
      </c>
      <c r="T21" s="213">
        <f t="shared" si="5"/>
        <v>60507.31532</v>
      </c>
      <c r="U21" s="213">
        <f t="shared" si="5"/>
        <v>60507.31532</v>
      </c>
      <c r="V21" s="213">
        <f t="shared" si="5"/>
        <v>60507.31532</v>
      </c>
      <c r="W21" s="213">
        <f t="shared" si="5"/>
        <v>60507.31532</v>
      </c>
      <c r="X21" s="213">
        <f t="shared" si="5"/>
        <v>60507.31532</v>
      </c>
      <c r="Y21" s="213">
        <f t="shared" si="5"/>
        <v>60507.31532</v>
      </c>
      <c r="Z21" s="213">
        <f t="shared" si="5"/>
        <v>60507.31532</v>
      </c>
      <c r="AA21" s="213">
        <f t="shared" si="5"/>
        <v>60507.31532</v>
      </c>
      <c r="AB21" s="213">
        <f t="shared" si="5"/>
        <v>62322.53478</v>
      </c>
      <c r="AC21" s="213">
        <f t="shared" si="5"/>
        <v>62322.53478</v>
      </c>
      <c r="AD21" s="213">
        <f t="shared" si="5"/>
        <v>62322.53478</v>
      </c>
      <c r="AE21" s="213">
        <f t="shared" si="5"/>
        <v>62322.53478</v>
      </c>
      <c r="AF21" s="213">
        <f t="shared" si="5"/>
        <v>62322.53478</v>
      </c>
      <c r="AG21" s="213">
        <f t="shared" si="5"/>
        <v>62322.53478</v>
      </c>
      <c r="AH21" s="213">
        <f t="shared" si="5"/>
        <v>62322.53478</v>
      </c>
      <c r="AI21" s="213">
        <f t="shared" si="5"/>
        <v>62322.53478</v>
      </c>
      <c r="AJ21" s="213">
        <f t="shared" si="5"/>
        <v>62322.53478</v>
      </c>
      <c r="AK21" s="213">
        <f t="shared" si="5"/>
        <v>62322.53478</v>
      </c>
      <c r="AL21" s="213">
        <f t="shared" si="5"/>
        <v>62322.53478</v>
      </c>
      <c r="AM21" s="213">
        <f t="shared" si="5"/>
        <v>62322.53478</v>
      </c>
      <c r="AN21" s="213">
        <f t="shared" si="5"/>
        <v>64192.21082</v>
      </c>
      <c r="AO21" s="213">
        <f t="shared" si="5"/>
        <v>64192.21082</v>
      </c>
      <c r="AP21" s="213">
        <f t="shared" si="5"/>
        <v>64192.21082</v>
      </c>
      <c r="AQ21" s="213">
        <f t="shared" si="5"/>
        <v>64192.21082</v>
      </c>
      <c r="AR21" s="213">
        <f t="shared" si="5"/>
        <v>64192.21082</v>
      </c>
      <c r="AS21" s="213">
        <f t="shared" si="5"/>
        <v>64192.21082</v>
      </c>
      <c r="AT21" s="213">
        <f t="shared" si="5"/>
        <v>64192.21082</v>
      </c>
      <c r="AU21" s="213">
        <f t="shared" si="5"/>
        <v>64192.21082</v>
      </c>
      <c r="AV21" s="213">
        <f t="shared" si="5"/>
        <v>64192.21082</v>
      </c>
      <c r="AW21" s="213">
        <f t="shared" si="5"/>
        <v>64192.21082</v>
      </c>
      <c r="AX21" s="213">
        <f t="shared" si="5"/>
        <v>64192.21082</v>
      </c>
      <c r="AY21" s="213">
        <f t="shared" si="5"/>
        <v>64192.21082</v>
      </c>
      <c r="AZ21" s="213">
        <f t="shared" si="5"/>
        <v>66117.97715</v>
      </c>
      <c r="BA21" s="213">
        <f t="shared" si="5"/>
        <v>66117.97715</v>
      </c>
      <c r="BB21" s="213">
        <f t="shared" si="5"/>
        <v>66117.97715</v>
      </c>
      <c r="BC21" s="213">
        <f t="shared" si="5"/>
        <v>66117.97715</v>
      </c>
      <c r="BD21" s="213">
        <f t="shared" si="5"/>
        <v>66117.97715</v>
      </c>
      <c r="BE21" s="213">
        <f t="shared" si="5"/>
        <v>66117.97715</v>
      </c>
      <c r="BF21" s="213">
        <f t="shared" si="5"/>
        <v>66117.97715</v>
      </c>
      <c r="BG21" s="213">
        <f t="shared" si="5"/>
        <v>66117.97715</v>
      </c>
      <c r="BH21" s="213">
        <f t="shared" si="5"/>
        <v>66117.97715</v>
      </c>
      <c r="BI21" s="213">
        <f t="shared" si="5"/>
        <v>66117.97715</v>
      </c>
      <c r="BJ21" s="213">
        <f t="shared" si="5"/>
        <v>66117.97715</v>
      </c>
      <c r="BK21" s="213">
        <f t="shared" si="5"/>
        <v>66117.97715</v>
      </c>
      <c r="BL21" s="213">
        <f t="shared" si="5"/>
        <v>68101.51646</v>
      </c>
      <c r="BM21" s="213">
        <f t="shared" si="5"/>
        <v>68101.51646</v>
      </c>
      <c r="BN21" s="213">
        <f t="shared" si="5"/>
        <v>68101.51646</v>
      </c>
      <c r="BO21" s="213">
        <f t="shared" si="5"/>
        <v>68101.51646</v>
      </c>
      <c r="BP21" s="213">
        <f t="shared" si="5"/>
        <v>68101.51646</v>
      </c>
      <c r="BQ21" s="213">
        <f t="shared" si="5"/>
        <v>68101.51646</v>
      </c>
      <c r="BR21" s="213">
        <f t="shared" si="5"/>
        <v>68101.51646</v>
      </c>
      <c r="BS21" s="213">
        <f t="shared" si="5"/>
        <v>68101.51646</v>
      </c>
      <c r="BT21" s="213">
        <f t="shared" si="5"/>
        <v>68101.51646</v>
      </c>
      <c r="BU21" s="213">
        <f t="shared" si="5"/>
        <v>68101.51646</v>
      </c>
      <c r="BV21" s="213">
        <f t="shared" si="5"/>
        <v>68101.51646</v>
      </c>
      <c r="BW21" s="213">
        <f t="shared" si="5"/>
        <v>68101.51646</v>
      </c>
      <c r="BX21" s="213">
        <f t="shared" si="5"/>
        <v>70144.56196</v>
      </c>
      <c r="BY21" s="213">
        <f t="shared" si="5"/>
        <v>70144.56196</v>
      </c>
      <c r="BZ21" s="213">
        <f t="shared" si="5"/>
        <v>70144.56196</v>
      </c>
      <c r="CA21" s="213">
        <f t="shared" si="5"/>
        <v>70144.56196</v>
      </c>
      <c r="CB21" s="213">
        <f t="shared" si="5"/>
        <v>70144.56196</v>
      </c>
      <c r="CC21" s="213">
        <f t="shared" si="5"/>
        <v>70144.56196</v>
      </c>
      <c r="CD21" s="213">
        <f t="shared" si="5"/>
        <v>70144.56196</v>
      </c>
      <c r="CE21" s="213">
        <f t="shared" si="5"/>
        <v>70144.56196</v>
      </c>
      <c r="CF21" s="213">
        <f t="shared" si="5"/>
        <v>70144.56196</v>
      </c>
      <c r="CG21" s="213">
        <f t="shared" si="5"/>
        <v>70144.56196</v>
      </c>
      <c r="CH21" s="213">
        <f t="shared" si="5"/>
        <v>70144.56196</v>
      </c>
      <c r="CI21" s="213">
        <f t="shared" si="5"/>
        <v>70144.56196</v>
      </c>
      <c r="CJ21" s="213">
        <f t="shared" si="5"/>
        <v>72248.89882</v>
      </c>
      <c r="CK21" s="213">
        <f t="shared" si="5"/>
        <v>72248.89882</v>
      </c>
      <c r="CL21" s="213">
        <f t="shared" si="5"/>
        <v>72248.89882</v>
      </c>
      <c r="CM21" s="213">
        <f t="shared" si="5"/>
        <v>72248.89882</v>
      </c>
      <c r="CN21" s="213">
        <f t="shared" si="5"/>
        <v>72248.89882</v>
      </c>
      <c r="CO21" s="213">
        <f t="shared" si="5"/>
        <v>72248.89882</v>
      </c>
      <c r="CP21" s="213">
        <f t="shared" si="5"/>
        <v>72248.89882</v>
      </c>
      <c r="CQ21" s="213">
        <f t="shared" si="5"/>
        <v>72248.89882</v>
      </c>
      <c r="CR21" s="213">
        <f t="shared" si="5"/>
        <v>72248.89882</v>
      </c>
      <c r="CS21" s="213">
        <f t="shared" si="5"/>
        <v>72248.89882</v>
      </c>
      <c r="CT21" s="213">
        <f t="shared" si="5"/>
        <v>72248.89882</v>
      </c>
      <c r="CU21" s="213">
        <f t="shared" si="5"/>
        <v>72248.89882</v>
      </c>
      <c r="CV21" s="213">
        <f t="shared" si="5"/>
        <v>74416.36578</v>
      </c>
      <c r="CW21" s="213">
        <f t="shared" si="5"/>
        <v>74416.36578</v>
      </c>
      <c r="CX21" s="213">
        <f t="shared" si="5"/>
        <v>74416.36578</v>
      </c>
      <c r="CY21" s="213">
        <f t="shared" si="5"/>
        <v>74416.36578</v>
      </c>
      <c r="CZ21" s="213">
        <f t="shared" si="5"/>
        <v>74416.36578</v>
      </c>
      <c r="DA21" s="213">
        <f t="shared" si="5"/>
        <v>74416.36578</v>
      </c>
      <c r="DB21" s="213">
        <f t="shared" si="5"/>
        <v>74416.36578</v>
      </c>
      <c r="DC21" s="213">
        <f t="shared" si="5"/>
        <v>74416.36578</v>
      </c>
      <c r="DD21" s="213">
        <f t="shared" si="5"/>
        <v>74416.36578</v>
      </c>
      <c r="DE21" s="213">
        <f t="shared" si="5"/>
        <v>74416.36578</v>
      </c>
      <c r="DF21" s="213">
        <f t="shared" si="5"/>
        <v>74416.36578</v>
      </c>
      <c r="DG21" s="213">
        <f t="shared" si="5"/>
        <v>74416.36578</v>
      </c>
      <c r="DH21" s="213">
        <f t="shared" si="5"/>
        <v>76648.85675</v>
      </c>
      <c r="DI21" s="213">
        <f t="shared" si="5"/>
        <v>76648.85675</v>
      </c>
      <c r="DJ21" s="213">
        <f t="shared" si="5"/>
        <v>76648.85675</v>
      </c>
      <c r="DK21" s="213">
        <f t="shared" si="5"/>
        <v>76648.85675</v>
      </c>
      <c r="DL21" s="213">
        <f t="shared" si="5"/>
        <v>76648.85675</v>
      </c>
      <c r="DM21" s="213">
        <f t="shared" si="5"/>
        <v>76648.85675</v>
      </c>
      <c r="DN21" s="213">
        <f t="shared" si="5"/>
        <v>76648.85675</v>
      </c>
      <c r="DO21" s="213">
        <f t="shared" si="5"/>
        <v>76648.85675</v>
      </c>
      <c r="DP21" s="213">
        <f t="shared" si="5"/>
        <v>76648.85675</v>
      </c>
      <c r="DQ21" s="213">
        <f t="shared" si="5"/>
        <v>76648.85675</v>
      </c>
      <c r="DR21" s="213">
        <f t="shared" si="5"/>
        <v>76648.85675</v>
      </c>
      <c r="DS21" s="213">
        <f t="shared" si="5"/>
        <v>76648.85675</v>
      </c>
      <c r="DT21" s="213">
        <f t="shared" si="5"/>
        <v>76809.55868</v>
      </c>
      <c r="DU21" s="213">
        <f t="shared" si="5"/>
        <v>76809.55868</v>
      </c>
      <c r="DV21" s="213">
        <f t="shared" si="5"/>
        <v>76809.55868</v>
      </c>
      <c r="DW21" s="213">
        <f t="shared" si="5"/>
        <v>76809.55868</v>
      </c>
      <c r="DX21" s="213">
        <f t="shared" si="5"/>
        <v>76809.55868</v>
      </c>
      <c r="DY21" s="213">
        <f t="shared" si="5"/>
        <v>76809.55868</v>
      </c>
      <c r="DZ21" s="213">
        <f t="shared" si="5"/>
        <v>76809.55868</v>
      </c>
      <c r="EA21" s="213">
        <f t="shared" si="5"/>
        <v>76809.55868</v>
      </c>
      <c r="EB21" s="213">
        <f t="shared" si="5"/>
        <v>76809.55868</v>
      </c>
      <c r="EC21" s="213">
        <f t="shared" si="5"/>
        <v>76809.55868</v>
      </c>
      <c r="ED21" s="213">
        <f t="shared" si="5"/>
        <v>76809.55868</v>
      </c>
      <c r="EE21" s="213">
        <f t="shared" si="5"/>
        <v>76809.55868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9" t="s">
        <v>69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3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Assumptions!B25</f>
        <v>General &amp; Admin</v>
      </c>
      <c r="D24" s="54">
        <f t="array" ref="D24">-(IF(D$2=1,Assumptions!$H25/12,-(SUMIF($D$2:$EE$2,D$2-1,$D24:$EE24)/12)*(1+XLOOKUP(D$2,Assumptions!$C$94:$M$94,Assumptions!$C$98:$M$98))))</f>
        <v>-753.7788917</v>
      </c>
      <c r="E24" s="54">
        <f t="array" ref="E24">-(IF(E$2=1,Assumptions!$H25/12,-(SUMIF($D$2:$EE$2,E$2-1,$D24:$EE24)/12)*(1+XLOOKUP(E$2,Assumptions!$C$94:$M$94,Assumptions!$C$98:$M$98))))</f>
        <v>-753.7788917</v>
      </c>
      <c r="F24" s="54">
        <f t="array" ref="F24">-(IF(F$2=1,Assumptions!$H25/12,-(SUMIF($D$2:$EE$2,F$2-1,$D24:$EE24)/12)*(1+XLOOKUP(F$2,Assumptions!$C$94:$M$94,Assumptions!$C$98:$M$98))))</f>
        <v>-753.7788917</v>
      </c>
      <c r="G24" s="54">
        <f t="array" ref="G24">-(IF(G$2=1,Assumptions!$H25/12,-(SUMIF($D$2:$EE$2,G$2-1,$D24:$EE24)/12)*(1+XLOOKUP(G$2,Assumptions!$C$94:$M$94,Assumptions!$C$98:$M$98))))</f>
        <v>-753.7788917</v>
      </c>
      <c r="H24" s="54">
        <f t="array" ref="H24">-(IF(H$2=1,Assumptions!$H25/12,-(SUMIF($D$2:$EE$2,H$2-1,$D24:$EE24)/12)*(1+XLOOKUP(H$2,Assumptions!$C$94:$M$94,Assumptions!$C$98:$M$98))))</f>
        <v>-753.7788917</v>
      </c>
      <c r="I24" s="54">
        <f t="array" ref="I24">-(IF(I$2=1,Assumptions!$H25/12,-(SUMIF($D$2:$EE$2,I$2-1,$D24:$EE24)/12)*(1+XLOOKUP(I$2,Assumptions!$C$94:$M$94,Assumptions!$C$98:$M$98))))</f>
        <v>-753.7788917</v>
      </c>
      <c r="J24" s="54">
        <f t="array" ref="J24">-(IF(J$2=1,Assumptions!$H25/12,-(SUMIF($D$2:$EE$2,J$2-1,$D24:$EE24)/12)*(1+XLOOKUP(J$2,Assumptions!$C$94:$M$94,Assumptions!$C$98:$M$98))))</f>
        <v>-753.7788917</v>
      </c>
      <c r="K24" s="54">
        <f t="array" ref="K24">-(IF(K$2=1,Assumptions!$H25/12,-(SUMIF($D$2:$EE$2,K$2-1,$D24:$EE24)/12)*(1+XLOOKUP(K$2,Assumptions!$C$94:$M$94,Assumptions!$C$98:$M$98))))</f>
        <v>-753.7788917</v>
      </c>
      <c r="L24" s="54">
        <f t="array" ref="L24">-(IF(L$2=1,Assumptions!$H25/12,-(SUMIF($D$2:$EE$2,L$2-1,$D24:$EE24)/12)*(1+XLOOKUP(L$2,Assumptions!$C$94:$M$94,Assumptions!$C$98:$M$98))))</f>
        <v>-753.7788917</v>
      </c>
      <c r="M24" s="54">
        <f t="array" ref="M24">-(IF(M$2=1,Assumptions!$H25/12,-(SUMIF($D$2:$EE$2,M$2-1,$D24:$EE24)/12)*(1+XLOOKUP(M$2,Assumptions!$C$94:$M$94,Assumptions!$C$98:$M$98))))</f>
        <v>-753.7788917</v>
      </c>
      <c r="N24" s="54">
        <f t="array" ref="N24">-(IF(N$2=1,Assumptions!$H25/12,-(SUMIF($D$2:$EE$2,N$2-1,$D24:$EE24)/12)*(1+XLOOKUP(N$2,Assumptions!$C$94:$M$94,Assumptions!$C$98:$M$98))))</f>
        <v>-753.7788917</v>
      </c>
      <c r="O24" s="54">
        <f t="array" ref="O24">-(IF(O$2=1,Assumptions!$H25/12,-(SUMIF($D$2:$EE$2,O$2-1,$D24:$EE24)/12)*(1+XLOOKUP(O$2,Assumptions!$C$94:$M$94,Assumptions!$C$98:$M$98))))</f>
        <v>-753.7788917</v>
      </c>
      <c r="P24" s="54">
        <f t="array" ref="P24">-(IF(P$2=1,Assumptions!$H25/12,-(SUMIF($D$2:$EE$2,P$2-1,$D24:$EE24)/12)*(1+XLOOKUP(P$2,Assumptions!$C$94:$M$94,Assumptions!$C$98:$M$98))))</f>
        <v>-776.3922584</v>
      </c>
      <c r="Q24" s="54">
        <f t="array" ref="Q24">-(IF(Q$2=1,Assumptions!$H25/12,-(SUMIF($D$2:$EE$2,Q$2-1,$D24:$EE24)/12)*(1+XLOOKUP(Q$2,Assumptions!$C$94:$M$94,Assumptions!$C$98:$M$98))))</f>
        <v>-776.3922584</v>
      </c>
      <c r="R24" s="54">
        <f t="array" ref="R24">-(IF(R$2=1,Assumptions!$H25/12,-(SUMIF($D$2:$EE$2,R$2-1,$D24:$EE24)/12)*(1+XLOOKUP(R$2,Assumptions!$C$94:$M$94,Assumptions!$C$98:$M$98))))</f>
        <v>-776.3922584</v>
      </c>
      <c r="S24" s="54">
        <f t="array" ref="S24">-(IF(S$2=1,Assumptions!$H25/12,-(SUMIF($D$2:$EE$2,S$2-1,$D24:$EE24)/12)*(1+XLOOKUP(S$2,Assumptions!$C$94:$M$94,Assumptions!$C$98:$M$98))))</f>
        <v>-776.3922584</v>
      </c>
      <c r="T24" s="54">
        <f t="array" ref="T24">-(IF(T$2=1,Assumptions!$H25/12,-(SUMIF($D$2:$EE$2,T$2-1,$D24:$EE24)/12)*(1+XLOOKUP(T$2,Assumptions!$C$94:$M$94,Assumptions!$C$98:$M$98))))</f>
        <v>-776.3922584</v>
      </c>
      <c r="U24" s="54">
        <f t="array" ref="U24">-(IF(U$2=1,Assumptions!$H25/12,-(SUMIF($D$2:$EE$2,U$2-1,$D24:$EE24)/12)*(1+XLOOKUP(U$2,Assumptions!$C$94:$M$94,Assumptions!$C$98:$M$98))))</f>
        <v>-776.3922584</v>
      </c>
      <c r="V24" s="54">
        <f t="array" ref="V24">-(IF(V$2=1,Assumptions!$H25/12,-(SUMIF($D$2:$EE$2,V$2-1,$D24:$EE24)/12)*(1+XLOOKUP(V$2,Assumptions!$C$94:$M$94,Assumptions!$C$98:$M$98))))</f>
        <v>-776.3922584</v>
      </c>
      <c r="W24" s="54">
        <f t="array" ref="W24">-(IF(W$2=1,Assumptions!$H25/12,-(SUMIF($D$2:$EE$2,W$2-1,$D24:$EE24)/12)*(1+XLOOKUP(W$2,Assumptions!$C$94:$M$94,Assumptions!$C$98:$M$98))))</f>
        <v>-776.3922584</v>
      </c>
      <c r="X24" s="54">
        <f t="array" ref="X24">-(IF(X$2=1,Assumptions!$H25/12,-(SUMIF($D$2:$EE$2,X$2-1,$D24:$EE24)/12)*(1+XLOOKUP(X$2,Assumptions!$C$94:$M$94,Assumptions!$C$98:$M$98))))</f>
        <v>-776.3922584</v>
      </c>
      <c r="Y24" s="54">
        <f t="array" ref="Y24">-(IF(Y$2=1,Assumptions!$H25/12,-(SUMIF($D$2:$EE$2,Y$2-1,$D24:$EE24)/12)*(1+XLOOKUP(Y$2,Assumptions!$C$94:$M$94,Assumptions!$C$98:$M$98))))</f>
        <v>-776.3922584</v>
      </c>
      <c r="Z24" s="54">
        <f t="array" ref="Z24">-(IF(Z$2=1,Assumptions!$H25/12,-(SUMIF($D$2:$EE$2,Z$2-1,$D24:$EE24)/12)*(1+XLOOKUP(Z$2,Assumptions!$C$94:$M$94,Assumptions!$C$98:$M$98))))</f>
        <v>-776.3922584</v>
      </c>
      <c r="AA24" s="54">
        <f t="array" ref="AA24">-(IF(AA$2=1,Assumptions!$H25/12,-(SUMIF($D$2:$EE$2,AA$2-1,$D24:$EE24)/12)*(1+XLOOKUP(AA$2,Assumptions!$C$94:$M$94,Assumptions!$C$98:$M$98))))</f>
        <v>-776.3922584</v>
      </c>
      <c r="AB24" s="54">
        <f t="array" ref="AB24">-(IF(AB$2=1,Assumptions!$H25/12,-(SUMIF($D$2:$EE$2,AB$2-1,$D24:$EE24)/12)*(1+XLOOKUP(AB$2,Assumptions!$C$94:$M$94,Assumptions!$C$98:$M$98))))</f>
        <v>-799.6840262</v>
      </c>
      <c r="AC24" s="54">
        <f t="array" ref="AC24">-(IF(AC$2=1,Assumptions!$H25/12,-(SUMIF($D$2:$EE$2,AC$2-1,$D24:$EE24)/12)*(1+XLOOKUP(AC$2,Assumptions!$C$94:$M$94,Assumptions!$C$98:$M$98))))</f>
        <v>-799.6840262</v>
      </c>
      <c r="AD24" s="54">
        <f t="array" ref="AD24">-(IF(AD$2=1,Assumptions!$H25/12,-(SUMIF($D$2:$EE$2,AD$2-1,$D24:$EE24)/12)*(1+XLOOKUP(AD$2,Assumptions!$C$94:$M$94,Assumptions!$C$98:$M$98))))</f>
        <v>-799.6840262</v>
      </c>
      <c r="AE24" s="54">
        <f t="array" ref="AE24">-(IF(AE$2=1,Assumptions!$H25/12,-(SUMIF($D$2:$EE$2,AE$2-1,$D24:$EE24)/12)*(1+XLOOKUP(AE$2,Assumptions!$C$94:$M$94,Assumptions!$C$98:$M$98))))</f>
        <v>-799.6840262</v>
      </c>
      <c r="AF24" s="54">
        <f t="array" ref="AF24">-(IF(AF$2=1,Assumptions!$H25/12,-(SUMIF($D$2:$EE$2,AF$2-1,$D24:$EE24)/12)*(1+XLOOKUP(AF$2,Assumptions!$C$94:$M$94,Assumptions!$C$98:$M$98))))</f>
        <v>-799.6840262</v>
      </c>
      <c r="AG24" s="54">
        <f t="array" ref="AG24">-(IF(AG$2=1,Assumptions!$H25/12,-(SUMIF($D$2:$EE$2,AG$2-1,$D24:$EE24)/12)*(1+XLOOKUP(AG$2,Assumptions!$C$94:$M$94,Assumptions!$C$98:$M$98))))</f>
        <v>-799.6840262</v>
      </c>
      <c r="AH24" s="54">
        <f t="array" ref="AH24">-(IF(AH$2=1,Assumptions!$H25/12,-(SUMIF($D$2:$EE$2,AH$2-1,$D24:$EE24)/12)*(1+XLOOKUP(AH$2,Assumptions!$C$94:$M$94,Assumptions!$C$98:$M$98))))</f>
        <v>-799.6840262</v>
      </c>
      <c r="AI24" s="54">
        <f t="array" ref="AI24">-(IF(AI$2=1,Assumptions!$H25/12,-(SUMIF($D$2:$EE$2,AI$2-1,$D24:$EE24)/12)*(1+XLOOKUP(AI$2,Assumptions!$C$94:$M$94,Assumptions!$C$98:$M$98))))</f>
        <v>-799.6840262</v>
      </c>
      <c r="AJ24" s="54">
        <f t="array" ref="AJ24">-(IF(AJ$2=1,Assumptions!$H25/12,-(SUMIF($D$2:$EE$2,AJ$2-1,$D24:$EE24)/12)*(1+XLOOKUP(AJ$2,Assumptions!$C$94:$M$94,Assumptions!$C$98:$M$98))))</f>
        <v>-799.6840262</v>
      </c>
      <c r="AK24" s="54">
        <f t="array" ref="AK24">-(IF(AK$2=1,Assumptions!$H25/12,-(SUMIF($D$2:$EE$2,AK$2-1,$D24:$EE24)/12)*(1+XLOOKUP(AK$2,Assumptions!$C$94:$M$94,Assumptions!$C$98:$M$98))))</f>
        <v>-799.6840262</v>
      </c>
      <c r="AL24" s="54">
        <f t="array" ref="AL24">-(IF(AL$2=1,Assumptions!$H25/12,-(SUMIF($D$2:$EE$2,AL$2-1,$D24:$EE24)/12)*(1+XLOOKUP(AL$2,Assumptions!$C$94:$M$94,Assumptions!$C$98:$M$98))))</f>
        <v>-799.6840262</v>
      </c>
      <c r="AM24" s="54">
        <f t="array" ref="AM24">-(IF(AM$2=1,Assumptions!$H25/12,-(SUMIF($D$2:$EE$2,AM$2-1,$D24:$EE24)/12)*(1+XLOOKUP(AM$2,Assumptions!$C$94:$M$94,Assumptions!$C$98:$M$98))))</f>
        <v>-799.6840262</v>
      </c>
      <c r="AN24" s="54">
        <f t="array" ref="AN24">-(IF(AN$2=1,Assumptions!$H25/12,-(SUMIF($D$2:$EE$2,AN$2-1,$D24:$EE24)/12)*(1+XLOOKUP(AN$2,Assumptions!$C$94:$M$94,Assumptions!$C$98:$M$98))))</f>
        <v>-823.674547</v>
      </c>
      <c r="AO24" s="54">
        <f t="array" ref="AO24">-(IF(AO$2=1,Assumptions!$H25/12,-(SUMIF($D$2:$EE$2,AO$2-1,$D24:$EE24)/12)*(1+XLOOKUP(AO$2,Assumptions!$C$94:$M$94,Assumptions!$C$98:$M$98))))</f>
        <v>-823.674547</v>
      </c>
      <c r="AP24" s="54">
        <f t="array" ref="AP24">-(IF(AP$2=1,Assumptions!$H25/12,-(SUMIF($D$2:$EE$2,AP$2-1,$D24:$EE24)/12)*(1+XLOOKUP(AP$2,Assumptions!$C$94:$M$94,Assumptions!$C$98:$M$98))))</f>
        <v>-823.674547</v>
      </c>
      <c r="AQ24" s="54">
        <f t="array" ref="AQ24">-(IF(AQ$2=1,Assumptions!$H25/12,-(SUMIF($D$2:$EE$2,AQ$2-1,$D24:$EE24)/12)*(1+XLOOKUP(AQ$2,Assumptions!$C$94:$M$94,Assumptions!$C$98:$M$98))))</f>
        <v>-823.674547</v>
      </c>
      <c r="AR24" s="54">
        <f t="array" ref="AR24">-(IF(AR$2=1,Assumptions!$H25/12,-(SUMIF($D$2:$EE$2,AR$2-1,$D24:$EE24)/12)*(1+XLOOKUP(AR$2,Assumptions!$C$94:$M$94,Assumptions!$C$98:$M$98))))</f>
        <v>-823.674547</v>
      </c>
      <c r="AS24" s="54">
        <f t="array" ref="AS24">-(IF(AS$2=1,Assumptions!$H25/12,-(SUMIF($D$2:$EE$2,AS$2-1,$D24:$EE24)/12)*(1+XLOOKUP(AS$2,Assumptions!$C$94:$M$94,Assumptions!$C$98:$M$98))))</f>
        <v>-823.674547</v>
      </c>
      <c r="AT24" s="54">
        <f t="array" ref="AT24">-(IF(AT$2=1,Assumptions!$H25/12,-(SUMIF($D$2:$EE$2,AT$2-1,$D24:$EE24)/12)*(1+XLOOKUP(AT$2,Assumptions!$C$94:$M$94,Assumptions!$C$98:$M$98))))</f>
        <v>-823.674547</v>
      </c>
      <c r="AU24" s="54">
        <f t="array" ref="AU24">-(IF(AU$2=1,Assumptions!$H25/12,-(SUMIF($D$2:$EE$2,AU$2-1,$D24:$EE24)/12)*(1+XLOOKUP(AU$2,Assumptions!$C$94:$M$94,Assumptions!$C$98:$M$98))))</f>
        <v>-823.674547</v>
      </c>
      <c r="AV24" s="54">
        <f t="array" ref="AV24">-(IF(AV$2=1,Assumptions!$H25/12,-(SUMIF($D$2:$EE$2,AV$2-1,$D24:$EE24)/12)*(1+XLOOKUP(AV$2,Assumptions!$C$94:$M$94,Assumptions!$C$98:$M$98))))</f>
        <v>-823.674547</v>
      </c>
      <c r="AW24" s="54">
        <f t="array" ref="AW24">-(IF(AW$2=1,Assumptions!$H25/12,-(SUMIF($D$2:$EE$2,AW$2-1,$D24:$EE24)/12)*(1+XLOOKUP(AW$2,Assumptions!$C$94:$M$94,Assumptions!$C$98:$M$98))))</f>
        <v>-823.674547</v>
      </c>
      <c r="AX24" s="54">
        <f t="array" ref="AX24">-(IF(AX$2=1,Assumptions!$H25/12,-(SUMIF($D$2:$EE$2,AX$2-1,$D24:$EE24)/12)*(1+XLOOKUP(AX$2,Assumptions!$C$94:$M$94,Assumptions!$C$98:$M$98))))</f>
        <v>-823.674547</v>
      </c>
      <c r="AY24" s="54">
        <f t="array" ref="AY24">-(IF(AY$2=1,Assumptions!$H25/12,-(SUMIF($D$2:$EE$2,AY$2-1,$D24:$EE24)/12)*(1+XLOOKUP(AY$2,Assumptions!$C$94:$M$94,Assumptions!$C$98:$M$98))))</f>
        <v>-823.674547</v>
      </c>
      <c r="AZ24" s="54">
        <f t="array" ref="AZ24">-(IF(AZ$2=1,Assumptions!$H25/12,-(SUMIF($D$2:$EE$2,AZ$2-1,$D24:$EE24)/12)*(1+XLOOKUP(AZ$2,Assumptions!$C$94:$M$94,Assumptions!$C$98:$M$98))))</f>
        <v>-848.3847834</v>
      </c>
      <c r="BA24" s="54">
        <f t="array" ref="BA24">-(IF(BA$2=1,Assumptions!$H25/12,-(SUMIF($D$2:$EE$2,BA$2-1,$D24:$EE24)/12)*(1+XLOOKUP(BA$2,Assumptions!$C$94:$M$94,Assumptions!$C$98:$M$98))))</f>
        <v>-848.3847834</v>
      </c>
      <c r="BB24" s="54">
        <f t="array" ref="BB24">-(IF(BB$2=1,Assumptions!$H25/12,-(SUMIF($D$2:$EE$2,BB$2-1,$D24:$EE24)/12)*(1+XLOOKUP(BB$2,Assumptions!$C$94:$M$94,Assumptions!$C$98:$M$98))))</f>
        <v>-848.3847834</v>
      </c>
      <c r="BC24" s="54">
        <f t="array" ref="BC24">-(IF(BC$2=1,Assumptions!$H25/12,-(SUMIF($D$2:$EE$2,BC$2-1,$D24:$EE24)/12)*(1+XLOOKUP(BC$2,Assumptions!$C$94:$M$94,Assumptions!$C$98:$M$98))))</f>
        <v>-848.3847834</v>
      </c>
      <c r="BD24" s="54">
        <f t="array" ref="BD24">-(IF(BD$2=1,Assumptions!$H25/12,-(SUMIF($D$2:$EE$2,BD$2-1,$D24:$EE24)/12)*(1+XLOOKUP(BD$2,Assumptions!$C$94:$M$94,Assumptions!$C$98:$M$98))))</f>
        <v>-848.3847834</v>
      </c>
      <c r="BE24" s="54">
        <f t="array" ref="BE24">-(IF(BE$2=1,Assumptions!$H25/12,-(SUMIF($D$2:$EE$2,BE$2-1,$D24:$EE24)/12)*(1+XLOOKUP(BE$2,Assumptions!$C$94:$M$94,Assumptions!$C$98:$M$98))))</f>
        <v>-848.3847834</v>
      </c>
      <c r="BF24" s="54">
        <f t="array" ref="BF24">-(IF(BF$2=1,Assumptions!$H25/12,-(SUMIF($D$2:$EE$2,BF$2-1,$D24:$EE24)/12)*(1+XLOOKUP(BF$2,Assumptions!$C$94:$M$94,Assumptions!$C$98:$M$98))))</f>
        <v>-848.3847834</v>
      </c>
      <c r="BG24" s="54">
        <f t="array" ref="BG24">-(IF(BG$2=1,Assumptions!$H25/12,-(SUMIF($D$2:$EE$2,BG$2-1,$D24:$EE24)/12)*(1+XLOOKUP(BG$2,Assumptions!$C$94:$M$94,Assumptions!$C$98:$M$98))))</f>
        <v>-848.3847834</v>
      </c>
      <c r="BH24" s="54">
        <f t="array" ref="BH24">-(IF(BH$2=1,Assumptions!$H25/12,-(SUMIF($D$2:$EE$2,BH$2-1,$D24:$EE24)/12)*(1+XLOOKUP(BH$2,Assumptions!$C$94:$M$94,Assumptions!$C$98:$M$98))))</f>
        <v>-848.3847834</v>
      </c>
      <c r="BI24" s="54">
        <f t="array" ref="BI24">-(IF(BI$2=1,Assumptions!$H25/12,-(SUMIF($D$2:$EE$2,BI$2-1,$D24:$EE24)/12)*(1+XLOOKUP(BI$2,Assumptions!$C$94:$M$94,Assumptions!$C$98:$M$98))))</f>
        <v>-848.3847834</v>
      </c>
      <c r="BJ24" s="54">
        <f t="array" ref="BJ24">-(IF(BJ$2=1,Assumptions!$H25/12,-(SUMIF($D$2:$EE$2,BJ$2-1,$D24:$EE24)/12)*(1+XLOOKUP(BJ$2,Assumptions!$C$94:$M$94,Assumptions!$C$98:$M$98))))</f>
        <v>-848.3847834</v>
      </c>
      <c r="BK24" s="54">
        <f t="array" ref="BK24">-(IF(BK$2=1,Assumptions!$H25/12,-(SUMIF($D$2:$EE$2,BK$2-1,$D24:$EE24)/12)*(1+XLOOKUP(BK$2,Assumptions!$C$94:$M$94,Assumptions!$C$98:$M$98))))</f>
        <v>-848.3847834</v>
      </c>
      <c r="BL24" s="54">
        <f t="array" ref="BL24">-(IF(BL$2=1,Assumptions!$H25/12,-(SUMIF($D$2:$EE$2,BL$2-1,$D24:$EE24)/12)*(1+XLOOKUP(BL$2,Assumptions!$C$94:$M$94,Assumptions!$C$98:$M$98))))</f>
        <v>-873.8363269</v>
      </c>
      <c r="BM24" s="54">
        <f t="array" ref="BM24">-(IF(BM$2=1,Assumptions!$H25/12,-(SUMIF($D$2:$EE$2,BM$2-1,$D24:$EE24)/12)*(1+XLOOKUP(BM$2,Assumptions!$C$94:$M$94,Assumptions!$C$98:$M$98))))</f>
        <v>-873.8363269</v>
      </c>
      <c r="BN24" s="54">
        <f t="array" ref="BN24">-(IF(BN$2=1,Assumptions!$H25/12,-(SUMIF($D$2:$EE$2,BN$2-1,$D24:$EE24)/12)*(1+XLOOKUP(BN$2,Assumptions!$C$94:$M$94,Assumptions!$C$98:$M$98))))</f>
        <v>-873.8363269</v>
      </c>
      <c r="BO24" s="54">
        <f t="array" ref="BO24">-(IF(BO$2=1,Assumptions!$H25/12,-(SUMIF($D$2:$EE$2,BO$2-1,$D24:$EE24)/12)*(1+XLOOKUP(BO$2,Assumptions!$C$94:$M$94,Assumptions!$C$98:$M$98))))</f>
        <v>-873.8363269</v>
      </c>
      <c r="BP24" s="54">
        <f t="array" ref="BP24">-(IF(BP$2=1,Assumptions!$H25/12,-(SUMIF($D$2:$EE$2,BP$2-1,$D24:$EE24)/12)*(1+XLOOKUP(BP$2,Assumptions!$C$94:$M$94,Assumptions!$C$98:$M$98))))</f>
        <v>-873.8363269</v>
      </c>
      <c r="BQ24" s="54">
        <f t="array" ref="BQ24">-(IF(BQ$2=1,Assumptions!$H25/12,-(SUMIF($D$2:$EE$2,BQ$2-1,$D24:$EE24)/12)*(1+XLOOKUP(BQ$2,Assumptions!$C$94:$M$94,Assumptions!$C$98:$M$98))))</f>
        <v>-873.8363269</v>
      </c>
      <c r="BR24" s="54">
        <f t="array" ref="BR24">-(IF(BR$2=1,Assumptions!$H25/12,-(SUMIF($D$2:$EE$2,BR$2-1,$D24:$EE24)/12)*(1+XLOOKUP(BR$2,Assumptions!$C$94:$M$94,Assumptions!$C$98:$M$98))))</f>
        <v>-873.8363269</v>
      </c>
      <c r="BS24" s="54">
        <f t="array" ref="BS24">-(IF(BS$2=1,Assumptions!$H25/12,-(SUMIF($D$2:$EE$2,BS$2-1,$D24:$EE24)/12)*(1+XLOOKUP(BS$2,Assumptions!$C$94:$M$94,Assumptions!$C$98:$M$98))))</f>
        <v>-873.8363269</v>
      </c>
      <c r="BT24" s="54">
        <f t="array" ref="BT24">-(IF(BT$2=1,Assumptions!$H25/12,-(SUMIF($D$2:$EE$2,BT$2-1,$D24:$EE24)/12)*(1+XLOOKUP(BT$2,Assumptions!$C$94:$M$94,Assumptions!$C$98:$M$98))))</f>
        <v>-873.8363269</v>
      </c>
      <c r="BU24" s="54">
        <f t="array" ref="BU24">-(IF(BU$2=1,Assumptions!$H25/12,-(SUMIF($D$2:$EE$2,BU$2-1,$D24:$EE24)/12)*(1+XLOOKUP(BU$2,Assumptions!$C$94:$M$94,Assumptions!$C$98:$M$98))))</f>
        <v>-873.8363269</v>
      </c>
      <c r="BV24" s="54">
        <f t="array" ref="BV24">-(IF(BV$2=1,Assumptions!$H25/12,-(SUMIF($D$2:$EE$2,BV$2-1,$D24:$EE24)/12)*(1+XLOOKUP(BV$2,Assumptions!$C$94:$M$94,Assumptions!$C$98:$M$98))))</f>
        <v>-873.8363269</v>
      </c>
      <c r="BW24" s="54">
        <f t="array" ref="BW24">-(IF(BW$2=1,Assumptions!$H25/12,-(SUMIF($D$2:$EE$2,BW$2-1,$D24:$EE24)/12)*(1+XLOOKUP(BW$2,Assumptions!$C$94:$M$94,Assumptions!$C$98:$M$98))))</f>
        <v>-873.8363269</v>
      </c>
      <c r="BX24" s="54">
        <f t="array" ref="BX24">-(IF(BX$2=1,Assumptions!$H25/12,-(SUMIF($D$2:$EE$2,BX$2-1,$D24:$EE24)/12)*(1+XLOOKUP(BX$2,Assumptions!$C$94:$M$94,Assumptions!$C$98:$M$98))))</f>
        <v>-900.0514167</v>
      </c>
      <c r="BY24" s="54">
        <f t="array" ref="BY24">-(IF(BY$2=1,Assumptions!$H25/12,-(SUMIF($D$2:$EE$2,BY$2-1,$D24:$EE24)/12)*(1+XLOOKUP(BY$2,Assumptions!$C$94:$M$94,Assumptions!$C$98:$M$98))))</f>
        <v>-900.0514167</v>
      </c>
      <c r="BZ24" s="54">
        <f t="array" ref="BZ24">-(IF(BZ$2=1,Assumptions!$H25/12,-(SUMIF($D$2:$EE$2,BZ$2-1,$D24:$EE24)/12)*(1+XLOOKUP(BZ$2,Assumptions!$C$94:$M$94,Assumptions!$C$98:$M$98))))</f>
        <v>-900.0514167</v>
      </c>
      <c r="CA24" s="54">
        <f t="array" ref="CA24">-(IF(CA$2=1,Assumptions!$H25/12,-(SUMIF($D$2:$EE$2,CA$2-1,$D24:$EE24)/12)*(1+XLOOKUP(CA$2,Assumptions!$C$94:$M$94,Assumptions!$C$98:$M$98))))</f>
        <v>-900.0514167</v>
      </c>
      <c r="CB24" s="54">
        <f t="array" ref="CB24">-(IF(CB$2=1,Assumptions!$H25/12,-(SUMIF($D$2:$EE$2,CB$2-1,$D24:$EE24)/12)*(1+XLOOKUP(CB$2,Assumptions!$C$94:$M$94,Assumptions!$C$98:$M$98))))</f>
        <v>-900.0514167</v>
      </c>
      <c r="CC24" s="54">
        <f t="array" ref="CC24">-(IF(CC$2=1,Assumptions!$H25/12,-(SUMIF($D$2:$EE$2,CC$2-1,$D24:$EE24)/12)*(1+XLOOKUP(CC$2,Assumptions!$C$94:$M$94,Assumptions!$C$98:$M$98))))</f>
        <v>-900.0514167</v>
      </c>
      <c r="CD24" s="54">
        <f t="array" ref="CD24">-(IF(CD$2=1,Assumptions!$H25/12,-(SUMIF($D$2:$EE$2,CD$2-1,$D24:$EE24)/12)*(1+XLOOKUP(CD$2,Assumptions!$C$94:$M$94,Assumptions!$C$98:$M$98))))</f>
        <v>-900.0514167</v>
      </c>
      <c r="CE24" s="54">
        <f t="array" ref="CE24">-(IF(CE$2=1,Assumptions!$H25/12,-(SUMIF($D$2:$EE$2,CE$2-1,$D24:$EE24)/12)*(1+XLOOKUP(CE$2,Assumptions!$C$94:$M$94,Assumptions!$C$98:$M$98))))</f>
        <v>-900.0514167</v>
      </c>
      <c r="CF24" s="54">
        <f t="array" ref="CF24">-(IF(CF$2=1,Assumptions!$H25/12,-(SUMIF($D$2:$EE$2,CF$2-1,$D24:$EE24)/12)*(1+XLOOKUP(CF$2,Assumptions!$C$94:$M$94,Assumptions!$C$98:$M$98))))</f>
        <v>-900.0514167</v>
      </c>
      <c r="CG24" s="54">
        <f t="array" ref="CG24">-(IF(CG$2=1,Assumptions!$H25/12,-(SUMIF($D$2:$EE$2,CG$2-1,$D24:$EE24)/12)*(1+XLOOKUP(CG$2,Assumptions!$C$94:$M$94,Assumptions!$C$98:$M$98))))</f>
        <v>-900.0514167</v>
      </c>
      <c r="CH24" s="54">
        <f t="array" ref="CH24">-(IF(CH$2=1,Assumptions!$H25/12,-(SUMIF($D$2:$EE$2,CH$2-1,$D24:$EE24)/12)*(1+XLOOKUP(CH$2,Assumptions!$C$94:$M$94,Assumptions!$C$98:$M$98))))</f>
        <v>-900.0514167</v>
      </c>
      <c r="CI24" s="54">
        <f t="array" ref="CI24">-(IF(CI$2=1,Assumptions!$H25/12,-(SUMIF($D$2:$EE$2,CI$2-1,$D24:$EE24)/12)*(1+XLOOKUP(CI$2,Assumptions!$C$94:$M$94,Assumptions!$C$98:$M$98))))</f>
        <v>-900.0514167</v>
      </c>
      <c r="CJ24" s="54">
        <f t="array" ref="CJ24">-(IF(CJ$2=1,Assumptions!$H25/12,-(SUMIF($D$2:$EE$2,CJ$2-1,$D24:$EE24)/12)*(1+XLOOKUP(CJ$2,Assumptions!$C$94:$M$94,Assumptions!$C$98:$M$98))))</f>
        <v>-927.0529592</v>
      </c>
      <c r="CK24" s="54">
        <f t="array" ref="CK24">-(IF(CK$2=1,Assumptions!$H25/12,-(SUMIF($D$2:$EE$2,CK$2-1,$D24:$EE24)/12)*(1+XLOOKUP(CK$2,Assumptions!$C$94:$M$94,Assumptions!$C$98:$M$98))))</f>
        <v>-927.0529592</v>
      </c>
      <c r="CL24" s="54">
        <f t="array" ref="CL24">-(IF(CL$2=1,Assumptions!$H25/12,-(SUMIF($D$2:$EE$2,CL$2-1,$D24:$EE24)/12)*(1+XLOOKUP(CL$2,Assumptions!$C$94:$M$94,Assumptions!$C$98:$M$98))))</f>
        <v>-927.0529592</v>
      </c>
      <c r="CM24" s="54">
        <f t="array" ref="CM24">-(IF(CM$2=1,Assumptions!$H25/12,-(SUMIF($D$2:$EE$2,CM$2-1,$D24:$EE24)/12)*(1+XLOOKUP(CM$2,Assumptions!$C$94:$M$94,Assumptions!$C$98:$M$98))))</f>
        <v>-927.0529592</v>
      </c>
      <c r="CN24" s="54">
        <f t="array" ref="CN24">-(IF(CN$2=1,Assumptions!$H25/12,-(SUMIF($D$2:$EE$2,CN$2-1,$D24:$EE24)/12)*(1+XLOOKUP(CN$2,Assumptions!$C$94:$M$94,Assumptions!$C$98:$M$98))))</f>
        <v>-927.0529592</v>
      </c>
      <c r="CO24" s="54">
        <f t="array" ref="CO24">-(IF(CO$2=1,Assumptions!$H25/12,-(SUMIF($D$2:$EE$2,CO$2-1,$D24:$EE24)/12)*(1+XLOOKUP(CO$2,Assumptions!$C$94:$M$94,Assumptions!$C$98:$M$98))))</f>
        <v>-927.0529592</v>
      </c>
      <c r="CP24" s="54">
        <f t="array" ref="CP24">-(IF(CP$2=1,Assumptions!$H25/12,-(SUMIF($D$2:$EE$2,CP$2-1,$D24:$EE24)/12)*(1+XLOOKUP(CP$2,Assumptions!$C$94:$M$94,Assumptions!$C$98:$M$98))))</f>
        <v>-927.0529592</v>
      </c>
      <c r="CQ24" s="54">
        <f t="array" ref="CQ24">-(IF(CQ$2=1,Assumptions!$H25/12,-(SUMIF($D$2:$EE$2,CQ$2-1,$D24:$EE24)/12)*(1+XLOOKUP(CQ$2,Assumptions!$C$94:$M$94,Assumptions!$C$98:$M$98))))</f>
        <v>-927.0529592</v>
      </c>
      <c r="CR24" s="54">
        <f t="array" ref="CR24">-(IF(CR$2=1,Assumptions!$H25/12,-(SUMIF($D$2:$EE$2,CR$2-1,$D24:$EE24)/12)*(1+XLOOKUP(CR$2,Assumptions!$C$94:$M$94,Assumptions!$C$98:$M$98))))</f>
        <v>-927.0529592</v>
      </c>
      <c r="CS24" s="54">
        <f t="array" ref="CS24">-(IF(CS$2=1,Assumptions!$H25/12,-(SUMIF($D$2:$EE$2,CS$2-1,$D24:$EE24)/12)*(1+XLOOKUP(CS$2,Assumptions!$C$94:$M$94,Assumptions!$C$98:$M$98))))</f>
        <v>-927.0529592</v>
      </c>
      <c r="CT24" s="54">
        <f t="array" ref="CT24">-(IF(CT$2=1,Assumptions!$H25/12,-(SUMIF($D$2:$EE$2,CT$2-1,$D24:$EE24)/12)*(1+XLOOKUP(CT$2,Assumptions!$C$94:$M$94,Assumptions!$C$98:$M$98))))</f>
        <v>-927.0529592</v>
      </c>
      <c r="CU24" s="54">
        <f t="array" ref="CU24">-(IF(CU$2=1,Assumptions!$H25/12,-(SUMIF($D$2:$EE$2,CU$2-1,$D24:$EE24)/12)*(1+XLOOKUP(CU$2,Assumptions!$C$94:$M$94,Assumptions!$C$98:$M$98))))</f>
        <v>-927.0529592</v>
      </c>
      <c r="CV24" s="54">
        <f t="array" ref="CV24">-(IF(CV$2=1,Assumptions!$H25/12,-(SUMIF($D$2:$EE$2,CV$2-1,$D24:$EE24)/12)*(1+XLOOKUP(CV$2,Assumptions!$C$94:$M$94,Assumptions!$C$98:$M$98))))</f>
        <v>-954.8645479</v>
      </c>
      <c r="CW24" s="54">
        <f t="array" ref="CW24">-(IF(CW$2=1,Assumptions!$H25/12,-(SUMIF($D$2:$EE$2,CW$2-1,$D24:$EE24)/12)*(1+XLOOKUP(CW$2,Assumptions!$C$94:$M$94,Assumptions!$C$98:$M$98))))</f>
        <v>-954.8645479</v>
      </c>
      <c r="CX24" s="54">
        <f t="array" ref="CX24">-(IF(CX$2=1,Assumptions!$H25/12,-(SUMIF($D$2:$EE$2,CX$2-1,$D24:$EE24)/12)*(1+XLOOKUP(CX$2,Assumptions!$C$94:$M$94,Assumptions!$C$98:$M$98))))</f>
        <v>-954.8645479</v>
      </c>
      <c r="CY24" s="54">
        <f t="array" ref="CY24">-(IF(CY$2=1,Assumptions!$H25/12,-(SUMIF($D$2:$EE$2,CY$2-1,$D24:$EE24)/12)*(1+XLOOKUP(CY$2,Assumptions!$C$94:$M$94,Assumptions!$C$98:$M$98))))</f>
        <v>-954.8645479</v>
      </c>
      <c r="CZ24" s="54">
        <f t="array" ref="CZ24">-(IF(CZ$2=1,Assumptions!$H25/12,-(SUMIF($D$2:$EE$2,CZ$2-1,$D24:$EE24)/12)*(1+XLOOKUP(CZ$2,Assumptions!$C$94:$M$94,Assumptions!$C$98:$M$98))))</f>
        <v>-954.8645479</v>
      </c>
      <c r="DA24" s="54">
        <f t="array" ref="DA24">-(IF(DA$2=1,Assumptions!$H25/12,-(SUMIF($D$2:$EE$2,DA$2-1,$D24:$EE24)/12)*(1+XLOOKUP(DA$2,Assumptions!$C$94:$M$94,Assumptions!$C$98:$M$98))))</f>
        <v>-954.8645479</v>
      </c>
      <c r="DB24" s="54">
        <f t="array" ref="DB24">-(IF(DB$2=1,Assumptions!$H25/12,-(SUMIF($D$2:$EE$2,DB$2-1,$D24:$EE24)/12)*(1+XLOOKUP(DB$2,Assumptions!$C$94:$M$94,Assumptions!$C$98:$M$98))))</f>
        <v>-954.8645479</v>
      </c>
      <c r="DC24" s="54">
        <f t="array" ref="DC24">-(IF(DC$2=1,Assumptions!$H25/12,-(SUMIF($D$2:$EE$2,DC$2-1,$D24:$EE24)/12)*(1+XLOOKUP(DC$2,Assumptions!$C$94:$M$94,Assumptions!$C$98:$M$98))))</f>
        <v>-954.8645479</v>
      </c>
      <c r="DD24" s="54">
        <f t="array" ref="DD24">-(IF(DD$2=1,Assumptions!$H25/12,-(SUMIF($D$2:$EE$2,DD$2-1,$D24:$EE24)/12)*(1+XLOOKUP(DD$2,Assumptions!$C$94:$M$94,Assumptions!$C$98:$M$98))))</f>
        <v>-954.8645479</v>
      </c>
      <c r="DE24" s="54">
        <f t="array" ref="DE24">-(IF(DE$2=1,Assumptions!$H25/12,-(SUMIF($D$2:$EE$2,DE$2-1,$D24:$EE24)/12)*(1+XLOOKUP(DE$2,Assumptions!$C$94:$M$94,Assumptions!$C$98:$M$98))))</f>
        <v>-954.8645479</v>
      </c>
      <c r="DF24" s="54">
        <f t="array" ref="DF24">-(IF(DF$2=1,Assumptions!$H25/12,-(SUMIF($D$2:$EE$2,DF$2-1,$D24:$EE24)/12)*(1+XLOOKUP(DF$2,Assumptions!$C$94:$M$94,Assumptions!$C$98:$M$98))))</f>
        <v>-954.8645479</v>
      </c>
      <c r="DG24" s="54">
        <f t="array" ref="DG24">-(IF(DG$2=1,Assumptions!$H25/12,-(SUMIF($D$2:$EE$2,DG$2-1,$D24:$EE24)/12)*(1+XLOOKUP(DG$2,Assumptions!$C$94:$M$94,Assumptions!$C$98:$M$98))))</f>
        <v>-954.8645479</v>
      </c>
      <c r="DH24" s="54">
        <f t="array" ref="DH24">-(IF(DH$2=1,Assumptions!$H25/12,-(SUMIF($D$2:$EE$2,DH$2-1,$D24:$EE24)/12)*(1+XLOOKUP(DH$2,Assumptions!$C$94:$M$94,Assumptions!$C$98:$M$98))))</f>
        <v>-983.5104844</v>
      </c>
      <c r="DI24" s="54">
        <f t="array" ref="DI24">-(IF(DI$2=1,Assumptions!$H25/12,-(SUMIF($D$2:$EE$2,DI$2-1,$D24:$EE24)/12)*(1+XLOOKUP(DI$2,Assumptions!$C$94:$M$94,Assumptions!$C$98:$M$98))))</f>
        <v>-983.5104844</v>
      </c>
      <c r="DJ24" s="54">
        <f t="array" ref="DJ24">-(IF(DJ$2=1,Assumptions!$H25/12,-(SUMIF($D$2:$EE$2,DJ$2-1,$D24:$EE24)/12)*(1+XLOOKUP(DJ$2,Assumptions!$C$94:$M$94,Assumptions!$C$98:$M$98))))</f>
        <v>-983.5104844</v>
      </c>
      <c r="DK24" s="54">
        <f t="array" ref="DK24">-(IF(DK$2=1,Assumptions!$H25/12,-(SUMIF($D$2:$EE$2,DK$2-1,$D24:$EE24)/12)*(1+XLOOKUP(DK$2,Assumptions!$C$94:$M$94,Assumptions!$C$98:$M$98))))</f>
        <v>-983.5104844</v>
      </c>
      <c r="DL24" s="54">
        <f t="array" ref="DL24">-(IF(DL$2=1,Assumptions!$H25/12,-(SUMIF($D$2:$EE$2,DL$2-1,$D24:$EE24)/12)*(1+XLOOKUP(DL$2,Assumptions!$C$94:$M$94,Assumptions!$C$98:$M$98))))</f>
        <v>-983.5104844</v>
      </c>
      <c r="DM24" s="54">
        <f t="array" ref="DM24">-(IF(DM$2=1,Assumptions!$H25/12,-(SUMIF($D$2:$EE$2,DM$2-1,$D24:$EE24)/12)*(1+XLOOKUP(DM$2,Assumptions!$C$94:$M$94,Assumptions!$C$98:$M$98))))</f>
        <v>-983.5104844</v>
      </c>
      <c r="DN24" s="54">
        <f t="array" ref="DN24">-(IF(DN$2=1,Assumptions!$H25/12,-(SUMIF($D$2:$EE$2,DN$2-1,$D24:$EE24)/12)*(1+XLOOKUP(DN$2,Assumptions!$C$94:$M$94,Assumptions!$C$98:$M$98))))</f>
        <v>-983.5104844</v>
      </c>
      <c r="DO24" s="54">
        <f t="array" ref="DO24">-(IF(DO$2=1,Assumptions!$H25/12,-(SUMIF($D$2:$EE$2,DO$2-1,$D24:$EE24)/12)*(1+XLOOKUP(DO$2,Assumptions!$C$94:$M$94,Assumptions!$C$98:$M$98))))</f>
        <v>-983.5104844</v>
      </c>
      <c r="DP24" s="54">
        <f t="array" ref="DP24">-(IF(DP$2=1,Assumptions!$H25/12,-(SUMIF($D$2:$EE$2,DP$2-1,$D24:$EE24)/12)*(1+XLOOKUP(DP$2,Assumptions!$C$94:$M$94,Assumptions!$C$98:$M$98))))</f>
        <v>-983.5104844</v>
      </c>
      <c r="DQ24" s="54">
        <f t="array" ref="DQ24">-(IF(DQ$2=1,Assumptions!$H25/12,-(SUMIF($D$2:$EE$2,DQ$2-1,$D24:$EE24)/12)*(1+XLOOKUP(DQ$2,Assumptions!$C$94:$M$94,Assumptions!$C$98:$M$98))))</f>
        <v>-983.5104844</v>
      </c>
      <c r="DR24" s="54">
        <f t="array" ref="DR24">-(IF(DR$2=1,Assumptions!$H25/12,-(SUMIF($D$2:$EE$2,DR$2-1,$D24:$EE24)/12)*(1+XLOOKUP(DR$2,Assumptions!$C$94:$M$94,Assumptions!$C$98:$M$98))))</f>
        <v>-983.5104844</v>
      </c>
      <c r="DS24" s="54">
        <f t="array" ref="DS24">-(IF(DS$2=1,Assumptions!$H25/12,-(SUMIF($D$2:$EE$2,DS$2-1,$D24:$EE24)/12)*(1+XLOOKUP(DS$2,Assumptions!$C$94:$M$94,Assumptions!$C$98:$M$98))))</f>
        <v>-983.5104844</v>
      </c>
      <c r="DT24" s="54">
        <f t="array" ref="DT24">-(IF(DT$2=1,Assumptions!$H25/12,-(SUMIF($D$2:$EE$2,DT$2-1,$D24:$EE24)/12)*(1+XLOOKUP(DT$2,Assumptions!$C$94:$M$94,Assumptions!$C$98:$M$98))))</f>
        <v>-1013.015799</v>
      </c>
      <c r="DU24" s="54">
        <f t="array" ref="DU24">-(IF(DU$2=1,Assumptions!$H25/12,-(SUMIF($D$2:$EE$2,DU$2-1,$D24:$EE24)/12)*(1+XLOOKUP(DU$2,Assumptions!$C$94:$M$94,Assumptions!$C$98:$M$98))))</f>
        <v>-1013.015799</v>
      </c>
      <c r="DV24" s="54">
        <f t="array" ref="DV24">-(IF(DV$2=1,Assumptions!$H25/12,-(SUMIF($D$2:$EE$2,DV$2-1,$D24:$EE24)/12)*(1+XLOOKUP(DV$2,Assumptions!$C$94:$M$94,Assumptions!$C$98:$M$98))))</f>
        <v>-1013.015799</v>
      </c>
      <c r="DW24" s="54">
        <f t="array" ref="DW24">-(IF(DW$2=1,Assumptions!$H25/12,-(SUMIF($D$2:$EE$2,DW$2-1,$D24:$EE24)/12)*(1+XLOOKUP(DW$2,Assumptions!$C$94:$M$94,Assumptions!$C$98:$M$98))))</f>
        <v>-1013.015799</v>
      </c>
      <c r="DX24" s="54">
        <f t="array" ref="DX24">-(IF(DX$2=1,Assumptions!$H25/12,-(SUMIF($D$2:$EE$2,DX$2-1,$D24:$EE24)/12)*(1+XLOOKUP(DX$2,Assumptions!$C$94:$M$94,Assumptions!$C$98:$M$98))))</f>
        <v>-1013.015799</v>
      </c>
      <c r="DY24" s="54">
        <f t="array" ref="DY24">-(IF(DY$2=1,Assumptions!$H25/12,-(SUMIF($D$2:$EE$2,DY$2-1,$D24:$EE24)/12)*(1+XLOOKUP(DY$2,Assumptions!$C$94:$M$94,Assumptions!$C$98:$M$98))))</f>
        <v>-1013.015799</v>
      </c>
      <c r="DZ24" s="54">
        <f t="array" ref="DZ24">-(IF(DZ$2=1,Assumptions!$H25/12,-(SUMIF($D$2:$EE$2,DZ$2-1,$D24:$EE24)/12)*(1+XLOOKUP(DZ$2,Assumptions!$C$94:$M$94,Assumptions!$C$98:$M$98))))</f>
        <v>-1013.015799</v>
      </c>
      <c r="EA24" s="54">
        <f t="array" ref="EA24">-(IF(EA$2=1,Assumptions!$H25/12,-(SUMIF($D$2:$EE$2,EA$2-1,$D24:$EE24)/12)*(1+XLOOKUP(EA$2,Assumptions!$C$94:$M$94,Assumptions!$C$98:$M$98))))</f>
        <v>-1013.015799</v>
      </c>
      <c r="EB24" s="54">
        <f t="array" ref="EB24">-(IF(EB$2=1,Assumptions!$H25/12,-(SUMIF($D$2:$EE$2,EB$2-1,$D24:$EE24)/12)*(1+XLOOKUP(EB$2,Assumptions!$C$94:$M$94,Assumptions!$C$98:$M$98))))</f>
        <v>-1013.015799</v>
      </c>
      <c r="EC24" s="54">
        <f t="array" ref="EC24">-(IF(EC$2=1,Assumptions!$H25/12,-(SUMIF($D$2:$EE$2,EC$2-1,$D24:$EE24)/12)*(1+XLOOKUP(EC$2,Assumptions!$C$94:$M$94,Assumptions!$C$98:$M$98))))</f>
        <v>-1013.015799</v>
      </c>
      <c r="ED24" s="54">
        <f t="array" ref="ED24">-(IF(ED$2=1,Assumptions!$H25/12,-(SUMIF($D$2:$EE$2,ED$2-1,$D24:$EE24)/12)*(1+XLOOKUP(ED$2,Assumptions!$C$94:$M$94,Assumptions!$C$98:$M$98))))</f>
        <v>-1013.015799</v>
      </c>
      <c r="EE24" s="54">
        <f t="array" ref="EE24">-(IF(EE$2=1,Assumptions!$H25/12,-(SUMIF($D$2:$EE$2,EE$2-1,$D24:$EE24)/12)*(1+XLOOKUP(EE$2,Assumptions!$C$94:$M$94,Assumptions!$C$98:$M$98))))</f>
        <v>-1013.015799</v>
      </c>
    </row>
    <row r="25" ht="15.75" customHeight="1">
      <c r="A25" s="1"/>
      <c r="B25" s="1"/>
      <c r="C25" s="1" t="str">
        <f>Assumptions!B26</f>
        <v>Payroll</v>
      </c>
      <c r="D25" s="54">
        <f t="array" ref="D25">-(IF(D$2=1,Assumptions!$H26/12,-(SUMIF($D$2:$EE$2,D$2-1,$D25:$EE25)/12)*(1+XLOOKUP(D$2,Assumptions!$C$94:$M$94,Assumptions!$C$98:$M$98))))</f>
        <v>-1829.2903</v>
      </c>
      <c r="E25" s="54">
        <f t="array" ref="E25">-(IF(E$2=1,Assumptions!$H26/12,-(SUMIF($D$2:$EE$2,E$2-1,$D25:$EE25)/12)*(1+XLOOKUP(E$2,Assumptions!$C$94:$M$94,Assumptions!$C$98:$M$98))))</f>
        <v>-1829.2903</v>
      </c>
      <c r="F25" s="54">
        <f t="array" ref="F25">-(IF(F$2=1,Assumptions!$H26/12,-(SUMIF($D$2:$EE$2,F$2-1,$D25:$EE25)/12)*(1+XLOOKUP(F$2,Assumptions!$C$94:$M$94,Assumptions!$C$98:$M$98))))</f>
        <v>-1829.2903</v>
      </c>
      <c r="G25" s="54">
        <f t="array" ref="G25">-(IF(G$2=1,Assumptions!$H26/12,-(SUMIF($D$2:$EE$2,G$2-1,$D25:$EE25)/12)*(1+XLOOKUP(G$2,Assumptions!$C$94:$M$94,Assumptions!$C$98:$M$98))))</f>
        <v>-1829.2903</v>
      </c>
      <c r="H25" s="54">
        <f t="array" ref="H25">-(IF(H$2=1,Assumptions!$H26/12,-(SUMIF($D$2:$EE$2,H$2-1,$D25:$EE25)/12)*(1+XLOOKUP(H$2,Assumptions!$C$94:$M$94,Assumptions!$C$98:$M$98))))</f>
        <v>-1829.2903</v>
      </c>
      <c r="I25" s="54">
        <f t="array" ref="I25">-(IF(I$2=1,Assumptions!$H26/12,-(SUMIF($D$2:$EE$2,I$2-1,$D25:$EE25)/12)*(1+XLOOKUP(I$2,Assumptions!$C$94:$M$94,Assumptions!$C$98:$M$98))))</f>
        <v>-1829.2903</v>
      </c>
      <c r="J25" s="54">
        <f t="array" ref="J25">-(IF(J$2=1,Assumptions!$H26/12,-(SUMIF($D$2:$EE$2,J$2-1,$D25:$EE25)/12)*(1+XLOOKUP(J$2,Assumptions!$C$94:$M$94,Assumptions!$C$98:$M$98))))</f>
        <v>-1829.2903</v>
      </c>
      <c r="K25" s="54">
        <f t="array" ref="K25">-(IF(K$2=1,Assumptions!$H26/12,-(SUMIF($D$2:$EE$2,K$2-1,$D25:$EE25)/12)*(1+XLOOKUP(K$2,Assumptions!$C$94:$M$94,Assumptions!$C$98:$M$98))))</f>
        <v>-1829.2903</v>
      </c>
      <c r="L25" s="54">
        <f t="array" ref="L25">-(IF(L$2=1,Assumptions!$H26/12,-(SUMIF($D$2:$EE$2,L$2-1,$D25:$EE25)/12)*(1+XLOOKUP(L$2,Assumptions!$C$94:$M$94,Assumptions!$C$98:$M$98))))</f>
        <v>-1829.2903</v>
      </c>
      <c r="M25" s="54">
        <f t="array" ref="M25">-(IF(M$2=1,Assumptions!$H26/12,-(SUMIF($D$2:$EE$2,M$2-1,$D25:$EE25)/12)*(1+XLOOKUP(M$2,Assumptions!$C$94:$M$94,Assumptions!$C$98:$M$98))))</f>
        <v>-1829.2903</v>
      </c>
      <c r="N25" s="54">
        <f t="array" ref="N25">-(IF(N$2=1,Assumptions!$H26/12,-(SUMIF($D$2:$EE$2,N$2-1,$D25:$EE25)/12)*(1+XLOOKUP(N$2,Assumptions!$C$94:$M$94,Assumptions!$C$98:$M$98))))</f>
        <v>-1829.2903</v>
      </c>
      <c r="O25" s="54">
        <f t="array" ref="O25">-(IF(O$2=1,Assumptions!$H26/12,-(SUMIF($D$2:$EE$2,O$2-1,$D25:$EE25)/12)*(1+XLOOKUP(O$2,Assumptions!$C$94:$M$94,Assumptions!$C$98:$M$98))))</f>
        <v>-1829.2903</v>
      </c>
      <c r="P25" s="54">
        <f t="array" ref="P25">-(IF(P$2=1,Assumptions!$H26/12,-(SUMIF($D$2:$EE$2,P$2-1,$D25:$EE25)/12)*(1+XLOOKUP(P$2,Assumptions!$C$94:$M$94,Assumptions!$C$98:$M$98))))</f>
        <v>-1884.169009</v>
      </c>
      <c r="Q25" s="54">
        <f t="array" ref="Q25">-(IF(Q$2=1,Assumptions!$H26/12,-(SUMIF($D$2:$EE$2,Q$2-1,$D25:$EE25)/12)*(1+XLOOKUP(Q$2,Assumptions!$C$94:$M$94,Assumptions!$C$98:$M$98))))</f>
        <v>-1884.169009</v>
      </c>
      <c r="R25" s="54">
        <f t="array" ref="R25">-(IF(R$2=1,Assumptions!$H26/12,-(SUMIF($D$2:$EE$2,R$2-1,$D25:$EE25)/12)*(1+XLOOKUP(R$2,Assumptions!$C$94:$M$94,Assumptions!$C$98:$M$98))))</f>
        <v>-1884.169009</v>
      </c>
      <c r="S25" s="54">
        <f t="array" ref="S25">-(IF(S$2=1,Assumptions!$H26/12,-(SUMIF($D$2:$EE$2,S$2-1,$D25:$EE25)/12)*(1+XLOOKUP(S$2,Assumptions!$C$94:$M$94,Assumptions!$C$98:$M$98))))</f>
        <v>-1884.169009</v>
      </c>
      <c r="T25" s="54">
        <f t="array" ref="T25">-(IF(T$2=1,Assumptions!$H26/12,-(SUMIF($D$2:$EE$2,T$2-1,$D25:$EE25)/12)*(1+XLOOKUP(T$2,Assumptions!$C$94:$M$94,Assumptions!$C$98:$M$98))))</f>
        <v>-1884.169009</v>
      </c>
      <c r="U25" s="54">
        <f t="array" ref="U25">-(IF(U$2=1,Assumptions!$H26/12,-(SUMIF($D$2:$EE$2,U$2-1,$D25:$EE25)/12)*(1+XLOOKUP(U$2,Assumptions!$C$94:$M$94,Assumptions!$C$98:$M$98))))</f>
        <v>-1884.169009</v>
      </c>
      <c r="V25" s="54">
        <f t="array" ref="V25">-(IF(V$2=1,Assumptions!$H26/12,-(SUMIF($D$2:$EE$2,V$2-1,$D25:$EE25)/12)*(1+XLOOKUP(V$2,Assumptions!$C$94:$M$94,Assumptions!$C$98:$M$98))))</f>
        <v>-1884.169009</v>
      </c>
      <c r="W25" s="54">
        <f t="array" ref="W25">-(IF(W$2=1,Assumptions!$H26/12,-(SUMIF($D$2:$EE$2,W$2-1,$D25:$EE25)/12)*(1+XLOOKUP(W$2,Assumptions!$C$94:$M$94,Assumptions!$C$98:$M$98))))</f>
        <v>-1884.169009</v>
      </c>
      <c r="X25" s="54">
        <f t="array" ref="X25">-(IF(X$2=1,Assumptions!$H26/12,-(SUMIF($D$2:$EE$2,X$2-1,$D25:$EE25)/12)*(1+XLOOKUP(X$2,Assumptions!$C$94:$M$94,Assumptions!$C$98:$M$98))))</f>
        <v>-1884.169009</v>
      </c>
      <c r="Y25" s="54">
        <f t="array" ref="Y25">-(IF(Y$2=1,Assumptions!$H26/12,-(SUMIF($D$2:$EE$2,Y$2-1,$D25:$EE25)/12)*(1+XLOOKUP(Y$2,Assumptions!$C$94:$M$94,Assumptions!$C$98:$M$98))))</f>
        <v>-1884.169009</v>
      </c>
      <c r="Z25" s="54">
        <f t="array" ref="Z25">-(IF(Z$2=1,Assumptions!$H26/12,-(SUMIF($D$2:$EE$2,Z$2-1,$D25:$EE25)/12)*(1+XLOOKUP(Z$2,Assumptions!$C$94:$M$94,Assumptions!$C$98:$M$98))))</f>
        <v>-1884.169009</v>
      </c>
      <c r="AA25" s="54">
        <f t="array" ref="AA25">-(IF(AA$2=1,Assumptions!$H26/12,-(SUMIF($D$2:$EE$2,AA$2-1,$D25:$EE25)/12)*(1+XLOOKUP(AA$2,Assumptions!$C$94:$M$94,Assumptions!$C$98:$M$98))))</f>
        <v>-1884.169009</v>
      </c>
      <c r="AB25" s="54">
        <f t="array" ref="AB25">-(IF(AB$2=1,Assumptions!$H26/12,-(SUMIF($D$2:$EE$2,AB$2-1,$D25:$EE25)/12)*(1+XLOOKUP(AB$2,Assumptions!$C$94:$M$94,Assumptions!$C$98:$M$98))))</f>
        <v>-1940.694079</v>
      </c>
      <c r="AC25" s="54">
        <f t="array" ref="AC25">-(IF(AC$2=1,Assumptions!$H26/12,-(SUMIF($D$2:$EE$2,AC$2-1,$D25:$EE25)/12)*(1+XLOOKUP(AC$2,Assumptions!$C$94:$M$94,Assumptions!$C$98:$M$98))))</f>
        <v>-1940.694079</v>
      </c>
      <c r="AD25" s="54">
        <f t="array" ref="AD25">-(IF(AD$2=1,Assumptions!$H26/12,-(SUMIF($D$2:$EE$2,AD$2-1,$D25:$EE25)/12)*(1+XLOOKUP(AD$2,Assumptions!$C$94:$M$94,Assumptions!$C$98:$M$98))))</f>
        <v>-1940.694079</v>
      </c>
      <c r="AE25" s="54">
        <f t="array" ref="AE25">-(IF(AE$2=1,Assumptions!$H26/12,-(SUMIF($D$2:$EE$2,AE$2-1,$D25:$EE25)/12)*(1+XLOOKUP(AE$2,Assumptions!$C$94:$M$94,Assumptions!$C$98:$M$98))))</f>
        <v>-1940.694079</v>
      </c>
      <c r="AF25" s="54">
        <f t="array" ref="AF25">-(IF(AF$2=1,Assumptions!$H26/12,-(SUMIF($D$2:$EE$2,AF$2-1,$D25:$EE25)/12)*(1+XLOOKUP(AF$2,Assumptions!$C$94:$M$94,Assumptions!$C$98:$M$98))))</f>
        <v>-1940.694079</v>
      </c>
      <c r="AG25" s="54">
        <f t="array" ref="AG25">-(IF(AG$2=1,Assumptions!$H26/12,-(SUMIF($D$2:$EE$2,AG$2-1,$D25:$EE25)/12)*(1+XLOOKUP(AG$2,Assumptions!$C$94:$M$94,Assumptions!$C$98:$M$98))))</f>
        <v>-1940.694079</v>
      </c>
      <c r="AH25" s="54">
        <f t="array" ref="AH25">-(IF(AH$2=1,Assumptions!$H26/12,-(SUMIF($D$2:$EE$2,AH$2-1,$D25:$EE25)/12)*(1+XLOOKUP(AH$2,Assumptions!$C$94:$M$94,Assumptions!$C$98:$M$98))))</f>
        <v>-1940.694079</v>
      </c>
      <c r="AI25" s="54">
        <f t="array" ref="AI25">-(IF(AI$2=1,Assumptions!$H26/12,-(SUMIF($D$2:$EE$2,AI$2-1,$D25:$EE25)/12)*(1+XLOOKUP(AI$2,Assumptions!$C$94:$M$94,Assumptions!$C$98:$M$98))))</f>
        <v>-1940.694079</v>
      </c>
      <c r="AJ25" s="54">
        <f t="array" ref="AJ25">-(IF(AJ$2=1,Assumptions!$H26/12,-(SUMIF($D$2:$EE$2,AJ$2-1,$D25:$EE25)/12)*(1+XLOOKUP(AJ$2,Assumptions!$C$94:$M$94,Assumptions!$C$98:$M$98))))</f>
        <v>-1940.694079</v>
      </c>
      <c r="AK25" s="54">
        <f t="array" ref="AK25">-(IF(AK$2=1,Assumptions!$H26/12,-(SUMIF($D$2:$EE$2,AK$2-1,$D25:$EE25)/12)*(1+XLOOKUP(AK$2,Assumptions!$C$94:$M$94,Assumptions!$C$98:$M$98))))</f>
        <v>-1940.694079</v>
      </c>
      <c r="AL25" s="54">
        <f t="array" ref="AL25">-(IF(AL$2=1,Assumptions!$H26/12,-(SUMIF($D$2:$EE$2,AL$2-1,$D25:$EE25)/12)*(1+XLOOKUP(AL$2,Assumptions!$C$94:$M$94,Assumptions!$C$98:$M$98))))</f>
        <v>-1940.694079</v>
      </c>
      <c r="AM25" s="54">
        <f t="array" ref="AM25">-(IF(AM$2=1,Assumptions!$H26/12,-(SUMIF($D$2:$EE$2,AM$2-1,$D25:$EE25)/12)*(1+XLOOKUP(AM$2,Assumptions!$C$94:$M$94,Assumptions!$C$98:$M$98))))</f>
        <v>-1940.694079</v>
      </c>
      <c r="AN25" s="54">
        <f t="array" ref="AN25">-(IF(AN$2=1,Assumptions!$H26/12,-(SUMIF($D$2:$EE$2,AN$2-1,$D25:$EE25)/12)*(1+XLOOKUP(AN$2,Assumptions!$C$94:$M$94,Assumptions!$C$98:$M$98))))</f>
        <v>-1998.914902</v>
      </c>
      <c r="AO25" s="54">
        <f t="array" ref="AO25">-(IF(AO$2=1,Assumptions!$H26/12,-(SUMIF($D$2:$EE$2,AO$2-1,$D25:$EE25)/12)*(1+XLOOKUP(AO$2,Assumptions!$C$94:$M$94,Assumptions!$C$98:$M$98))))</f>
        <v>-1998.914902</v>
      </c>
      <c r="AP25" s="54">
        <f t="array" ref="AP25">-(IF(AP$2=1,Assumptions!$H26/12,-(SUMIF($D$2:$EE$2,AP$2-1,$D25:$EE25)/12)*(1+XLOOKUP(AP$2,Assumptions!$C$94:$M$94,Assumptions!$C$98:$M$98))))</f>
        <v>-1998.914902</v>
      </c>
      <c r="AQ25" s="54">
        <f t="array" ref="AQ25">-(IF(AQ$2=1,Assumptions!$H26/12,-(SUMIF($D$2:$EE$2,AQ$2-1,$D25:$EE25)/12)*(1+XLOOKUP(AQ$2,Assumptions!$C$94:$M$94,Assumptions!$C$98:$M$98))))</f>
        <v>-1998.914902</v>
      </c>
      <c r="AR25" s="54">
        <f t="array" ref="AR25">-(IF(AR$2=1,Assumptions!$H26/12,-(SUMIF($D$2:$EE$2,AR$2-1,$D25:$EE25)/12)*(1+XLOOKUP(AR$2,Assumptions!$C$94:$M$94,Assumptions!$C$98:$M$98))))</f>
        <v>-1998.914902</v>
      </c>
      <c r="AS25" s="54">
        <f t="array" ref="AS25">-(IF(AS$2=1,Assumptions!$H26/12,-(SUMIF($D$2:$EE$2,AS$2-1,$D25:$EE25)/12)*(1+XLOOKUP(AS$2,Assumptions!$C$94:$M$94,Assumptions!$C$98:$M$98))))</f>
        <v>-1998.914902</v>
      </c>
      <c r="AT25" s="54">
        <f t="array" ref="AT25">-(IF(AT$2=1,Assumptions!$H26/12,-(SUMIF($D$2:$EE$2,AT$2-1,$D25:$EE25)/12)*(1+XLOOKUP(AT$2,Assumptions!$C$94:$M$94,Assumptions!$C$98:$M$98))))</f>
        <v>-1998.914902</v>
      </c>
      <c r="AU25" s="54">
        <f t="array" ref="AU25">-(IF(AU$2=1,Assumptions!$H26/12,-(SUMIF($D$2:$EE$2,AU$2-1,$D25:$EE25)/12)*(1+XLOOKUP(AU$2,Assumptions!$C$94:$M$94,Assumptions!$C$98:$M$98))))</f>
        <v>-1998.914902</v>
      </c>
      <c r="AV25" s="54">
        <f t="array" ref="AV25">-(IF(AV$2=1,Assumptions!$H26/12,-(SUMIF($D$2:$EE$2,AV$2-1,$D25:$EE25)/12)*(1+XLOOKUP(AV$2,Assumptions!$C$94:$M$94,Assumptions!$C$98:$M$98))))</f>
        <v>-1998.914902</v>
      </c>
      <c r="AW25" s="54">
        <f t="array" ref="AW25">-(IF(AW$2=1,Assumptions!$H26/12,-(SUMIF($D$2:$EE$2,AW$2-1,$D25:$EE25)/12)*(1+XLOOKUP(AW$2,Assumptions!$C$94:$M$94,Assumptions!$C$98:$M$98))))</f>
        <v>-1998.914902</v>
      </c>
      <c r="AX25" s="54">
        <f t="array" ref="AX25">-(IF(AX$2=1,Assumptions!$H26/12,-(SUMIF($D$2:$EE$2,AX$2-1,$D25:$EE25)/12)*(1+XLOOKUP(AX$2,Assumptions!$C$94:$M$94,Assumptions!$C$98:$M$98))))</f>
        <v>-1998.914902</v>
      </c>
      <c r="AY25" s="54">
        <f t="array" ref="AY25">-(IF(AY$2=1,Assumptions!$H26/12,-(SUMIF($D$2:$EE$2,AY$2-1,$D25:$EE25)/12)*(1+XLOOKUP(AY$2,Assumptions!$C$94:$M$94,Assumptions!$C$98:$M$98))))</f>
        <v>-1998.914902</v>
      </c>
      <c r="AZ25" s="54">
        <f t="array" ref="AZ25">-(IF(AZ$2=1,Assumptions!$H26/12,-(SUMIF($D$2:$EE$2,AZ$2-1,$D25:$EE25)/12)*(1+XLOOKUP(AZ$2,Assumptions!$C$94:$M$94,Assumptions!$C$98:$M$98))))</f>
        <v>-2058.882349</v>
      </c>
      <c r="BA25" s="54">
        <f t="array" ref="BA25">-(IF(BA$2=1,Assumptions!$H26/12,-(SUMIF($D$2:$EE$2,BA$2-1,$D25:$EE25)/12)*(1+XLOOKUP(BA$2,Assumptions!$C$94:$M$94,Assumptions!$C$98:$M$98))))</f>
        <v>-2058.882349</v>
      </c>
      <c r="BB25" s="54">
        <f t="array" ref="BB25">-(IF(BB$2=1,Assumptions!$H26/12,-(SUMIF($D$2:$EE$2,BB$2-1,$D25:$EE25)/12)*(1+XLOOKUP(BB$2,Assumptions!$C$94:$M$94,Assumptions!$C$98:$M$98))))</f>
        <v>-2058.882349</v>
      </c>
      <c r="BC25" s="54">
        <f t="array" ref="BC25">-(IF(BC$2=1,Assumptions!$H26/12,-(SUMIF($D$2:$EE$2,BC$2-1,$D25:$EE25)/12)*(1+XLOOKUP(BC$2,Assumptions!$C$94:$M$94,Assumptions!$C$98:$M$98))))</f>
        <v>-2058.882349</v>
      </c>
      <c r="BD25" s="54">
        <f t="array" ref="BD25">-(IF(BD$2=1,Assumptions!$H26/12,-(SUMIF($D$2:$EE$2,BD$2-1,$D25:$EE25)/12)*(1+XLOOKUP(BD$2,Assumptions!$C$94:$M$94,Assumptions!$C$98:$M$98))))</f>
        <v>-2058.882349</v>
      </c>
      <c r="BE25" s="54">
        <f t="array" ref="BE25">-(IF(BE$2=1,Assumptions!$H26/12,-(SUMIF($D$2:$EE$2,BE$2-1,$D25:$EE25)/12)*(1+XLOOKUP(BE$2,Assumptions!$C$94:$M$94,Assumptions!$C$98:$M$98))))</f>
        <v>-2058.882349</v>
      </c>
      <c r="BF25" s="54">
        <f t="array" ref="BF25">-(IF(BF$2=1,Assumptions!$H26/12,-(SUMIF($D$2:$EE$2,BF$2-1,$D25:$EE25)/12)*(1+XLOOKUP(BF$2,Assumptions!$C$94:$M$94,Assumptions!$C$98:$M$98))))</f>
        <v>-2058.882349</v>
      </c>
      <c r="BG25" s="54">
        <f t="array" ref="BG25">-(IF(BG$2=1,Assumptions!$H26/12,-(SUMIF($D$2:$EE$2,BG$2-1,$D25:$EE25)/12)*(1+XLOOKUP(BG$2,Assumptions!$C$94:$M$94,Assumptions!$C$98:$M$98))))</f>
        <v>-2058.882349</v>
      </c>
      <c r="BH25" s="54">
        <f t="array" ref="BH25">-(IF(BH$2=1,Assumptions!$H26/12,-(SUMIF($D$2:$EE$2,BH$2-1,$D25:$EE25)/12)*(1+XLOOKUP(BH$2,Assumptions!$C$94:$M$94,Assumptions!$C$98:$M$98))))</f>
        <v>-2058.882349</v>
      </c>
      <c r="BI25" s="54">
        <f t="array" ref="BI25">-(IF(BI$2=1,Assumptions!$H26/12,-(SUMIF($D$2:$EE$2,BI$2-1,$D25:$EE25)/12)*(1+XLOOKUP(BI$2,Assumptions!$C$94:$M$94,Assumptions!$C$98:$M$98))))</f>
        <v>-2058.882349</v>
      </c>
      <c r="BJ25" s="54">
        <f t="array" ref="BJ25">-(IF(BJ$2=1,Assumptions!$H26/12,-(SUMIF($D$2:$EE$2,BJ$2-1,$D25:$EE25)/12)*(1+XLOOKUP(BJ$2,Assumptions!$C$94:$M$94,Assumptions!$C$98:$M$98))))</f>
        <v>-2058.882349</v>
      </c>
      <c r="BK25" s="54">
        <f t="array" ref="BK25">-(IF(BK$2=1,Assumptions!$H26/12,-(SUMIF($D$2:$EE$2,BK$2-1,$D25:$EE25)/12)*(1+XLOOKUP(BK$2,Assumptions!$C$94:$M$94,Assumptions!$C$98:$M$98))))</f>
        <v>-2058.882349</v>
      </c>
      <c r="BL25" s="54">
        <f t="array" ref="BL25">-(IF(BL$2=1,Assumptions!$H26/12,-(SUMIF($D$2:$EE$2,BL$2-1,$D25:$EE25)/12)*(1+XLOOKUP(BL$2,Assumptions!$C$94:$M$94,Assumptions!$C$98:$M$98))))</f>
        <v>-2120.648819</v>
      </c>
      <c r="BM25" s="54">
        <f t="array" ref="BM25">-(IF(BM$2=1,Assumptions!$H26/12,-(SUMIF($D$2:$EE$2,BM$2-1,$D25:$EE25)/12)*(1+XLOOKUP(BM$2,Assumptions!$C$94:$M$94,Assumptions!$C$98:$M$98))))</f>
        <v>-2120.648819</v>
      </c>
      <c r="BN25" s="54">
        <f t="array" ref="BN25">-(IF(BN$2=1,Assumptions!$H26/12,-(SUMIF($D$2:$EE$2,BN$2-1,$D25:$EE25)/12)*(1+XLOOKUP(BN$2,Assumptions!$C$94:$M$94,Assumptions!$C$98:$M$98))))</f>
        <v>-2120.648819</v>
      </c>
      <c r="BO25" s="54">
        <f t="array" ref="BO25">-(IF(BO$2=1,Assumptions!$H26/12,-(SUMIF($D$2:$EE$2,BO$2-1,$D25:$EE25)/12)*(1+XLOOKUP(BO$2,Assumptions!$C$94:$M$94,Assumptions!$C$98:$M$98))))</f>
        <v>-2120.648819</v>
      </c>
      <c r="BP25" s="54">
        <f t="array" ref="BP25">-(IF(BP$2=1,Assumptions!$H26/12,-(SUMIF($D$2:$EE$2,BP$2-1,$D25:$EE25)/12)*(1+XLOOKUP(BP$2,Assumptions!$C$94:$M$94,Assumptions!$C$98:$M$98))))</f>
        <v>-2120.648819</v>
      </c>
      <c r="BQ25" s="54">
        <f t="array" ref="BQ25">-(IF(BQ$2=1,Assumptions!$H26/12,-(SUMIF($D$2:$EE$2,BQ$2-1,$D25:$EE25)/12)*(1+XLOOKUP(BQ$2,Assumptions!$C$94:$M$94,Assumptions!$C$98:$M$98))))</f>
        <v>-2120.648819</v>
      </c>
      <c r="BR25" s="54">
        <f t="array" ref="BR25">-(IF(BR$2=1,Assumptions!$H26/12,-(SUMIF($D$2:$EE$2,BR$2-1,$D25:$EE25)/12)*(1+XLOOKUP(BR$2,Assumptions!$C$94:$M$94,Assumptions!$C$98:$M$98))))</f>
        <v>-2120.648819</v>
      </c>
      <c r="BS25" s="54">
        <f t="array" ref="BS25">-(IF(BS$2=1,Assumptions!$H26/12,-(SUMIF($D$2:$EE$2,BS$2-1,$D25:$EE25)/12)*(1+XLOOKUP(BS$2,Assumptions!$C$94:$M$94,Assumptions!$C$98:$M$98))))</f>
        <v>-2120.648819</v>
      </c>
      <c r="BT25" s="54">
        <f t="array" ref="BT25">-(IF(BT$2=1,Assumptions!$H26/12,-(SUMIF($D$2:$EE$2,BT$2-1,$D25:$EE25)/12)*(1+XLOOKUP(BT$2,Assumptions!$C$94:$M$94,Assumptions!$C$98:$M$98))))</f>
        <v>-2120.648819</v>
      </c>
      <c r="BU25" s="54">
        <f t="array" ref="BU25">-(IF(BU$2=1,Assumptions!$H26/12,-(SUMIF($D$2:$EE$2,BU$2-1,$D25:$EE25)/12)*(1+XLOOKUP(BU$2,Assumptions!$C$94:$M$94,Assumptions!$C$98:$M$98))))</f>
        <v>-2120.648819</v>
      </c>
      <c r="BV25" s="54">
        <f t="array" ref="BV25">-(IF(BV$2=1,Assumptions!$H26/12,-(SUMIF($D$2:$EE$2,BV$2-1,$D25:$EE25)/12)*(1+XLOOKUP(BV$2,Assumptions!$C$94:$M$94,Assumptions!$C$98:$M$98))))</f>
        <v>-2120.648819</v>
      </c>
      <c r="BW25" s="54">
        <f t="array" ref="BW25">-(IF(BW$2=1,Assumptions!$H26/12,-(SUMIF($D$2:$EE$2,BW$2-1,$D25:$EE25)/12)*(1+XLOOKUP(BW$2,Assumptions!$C$94:$M$94,Assumptions!$C$98:$M$98))))</f>
        <v>-2120.648819</v>
      </c>
      <c r="BX25" s="54">
        <f t="array" ref="BX25">-(IF(BX$2=1,Assumptions!$H26/12,-(SUMIF($D$2:$EE$2,BX$2-1,$D25:$EE25)/12)*(1+XLOOKUP(BX$2,Assumptions!$C$94:$M$94,Assumptions!$C$98:$M$98))))</f>
        <v>-2184.268284</v>
      </c>
      <c r="BY25" s="54">
        <f t="array" ref="BY25">-(IF(BY$2=1,Assumptions!$H26/12,-(SUMIF($D$2:$EE$2,BY$2-1,$D25:$EE25)/12)*(1+XLOOKUP(BY$2,Assumptions!$C$94:$M$94,Assumptions!$C$98:$M$98))))</f>
        <v>-2184.268284</v>
      </c>
      <c r="BZ25" s="54">
        <f t="array" ref="BZ25">-(IF(BZ$2=1,Assumptions!$H26/12,-(SUMIF($D$2:$EE$2,BZ$2-1,$D25:$EE25)/12)*(1+XLOOKUP(BZ$2,Assumptions!$C$94:$M$94,Assumptions!$C$98:$M$98))))</f>
        <v>-2184.268284</v>
      </c>
      <c r="CA25" s="54">
        <f t="array" ref="CA25">-(IF(CA$2=1,Assumptions!$H26/12,-(SUMIF($D$2:$EE$2,CA$2-1,$D25:$EE25)/12)*(1+XLOOKUP(CA$2,Assumptions!$C$94:$M$94,Assumptions!$C$98:$M$98))))</f>
        <v>-2184.268284</v>
      </c>
      <c r="CB25" s="54">
        <f t="array" ref="CB25">-(IF(CB$2=1,Assumptions!$H26/12,-(SUMIF($D$2:$EE$2,CB$2-1,$D25:$EE25)/12)*(1+XLOOKUP(CB$2,Assumptions!$C$94:$M$94,Assumptions!$C$98:$M$98))))</f>
        <v>-2184.268284</v>
      </c>
      <c r="CC25" s="54">
        <f t="array" ref="CC25">-(IF(CC$2=1,Assumptions!$H26/12,-(SUMIF($D$2:$EE$2,CC$2-1,$D25:$EE25)/12)*(1+XLOOKUP(CC$2,Assumptions!$C$94:$M$94,Assumptions!$C$98:$M$98))))</f>
        <v>-2184.268284</v>
      </c>
      <c r="CD25" s="54">
        <f t="array" ref="CD25">-(IF(CD$2=1,Assumptions!$H26/12,-(SUMIF($D$2:$EE$2,CD$2-1,$D25:$EE25)/12)*(1+XLOOKUP(CD$2,Assumptions!$C$94:$M$94,Assumptions!$C$98:$M$98))))</f>
        <v>-2184.268284</v>
      </c>
      <c r="CE25" s="54">
        <f t="array" ref="CE25">-(IF(CE$2=1,Assumptions!$H26/12,-(SUMIF($D$2:$EE$2,CE$2-1,$D25:$EE25)/12)*(1+XLOOKUP(CE$2,Assumptions!$C$94:$M$94,Assumptions!$C$98:$M$98))))</f>
        <v>-2184.268284</v>
      </c>
      <c r="CF25" s="54">
        <f t="array" ref="CF25">-(IF(CF$2=1,Assumptions!$H26/12,-(SUMIF($D$2:$EE$2,CF$2-1,$D25:$EE25)/12)*(1+XLOOKUP(CF$2,Assumptions!$C$94:$M$94,Assumptions!$C$98:$M$98))))</f>
        <v>-2184.268284</v>
      </c>
      <c r="CG25" s="54">
        <f t="array" ref="CG25">-(IF(CG$2=1,Assumptions!$H26/12,-(SUMIF($D$2:$EE$2,CG$2-1,$D25:$EE25)/12)*(1+XLOOKUP(CG$2,Assumptions!$C$94:$M$94,Assumptions!$C$98:$M$98))))</f>
        <v>-2184.268284</v>
      </c>
      <c r="CH25" s="54">
        <f t="array" ref="CH25">-(IF(CH$2=1,Assumptions!$H26/12,-(SUMIF($D$2:$EE$2,CH$2-1,$D25:$EE25)/12)*(1+XLOOKUP(CH$2,Assumptions!$C$94:$M$94,Assumptions!$C$98:$M$98))))</f>
        <v>-2184.268284</v>
      </c>
      <c r="CI25" s="54">
        <f t="array" ref="CI25">-(IF(CI$2=1,Assumptions!$H26/12,-(SUMIF($D$2:$EE$2,CI$2-1,$D25:$EE25)/12)*(1+XLOOKUP(CI$2,Assumptions!$C$94:$M$94,Assumptions!$C$98:$M$98))))</f>
        <v>-2184.268284</v>
      </c>
      <c r="CJ25" s="54">
        <f t="array" ref="CJ25">-(IF(CJ$2=1,Assumptions!$H26/12,-(SUMIF($D$2:$EE$2,CJ$2-1,$D25:$EE25)/12)*(1+XLOOKUP(CJ$2,Assumptions!$C$94:$M$94,Assumptions!$C$98:$M$98))))</f>
        <v>-2249.796332</v>
      </c>
      <c r="CK25" s="54">
        <f t="array" ref="CK25">-(IF(CK$2=1,Assumptions!$H26/12,-(SUMIF($D$2:$EE$2,CK$2-1,$D25:$EE25)/12)*(1+XLOOKUP(CK$2,Assumptions!$C$94:$M$94,Assumptions!$C$98:$M$98))))</f>
        <v>-2249.796332</v>
      </c>
      <c r="CL25" s="54">
        <f t="array" ref="CL25">-(IF(CL$2=1,Assumptions!$H26/12,-(SUMIF($D$2:$EE$2,CL$2-1,$D25:$EE25)/12)*(1+XLOOKUP(CL$2,Assumptions!$C$94:$M$94,Assumptions!$C$98:$M$98))))</f>
        <v>-2249.796332</v>
      </c>
      <c r="CM25" s="54">
        <f t="array" ref="CM25">-(IF(CM$2=1,Assumptions!$H26/12,-(SUMIF($D$2:$EE$2,CM$2-1,$D25:$EE25)/12)*(1+XLOOKUP(CM$2,Assumptions!$C$94:$M$94,Assumptions!$C$98:$M$98))))</f>
        <v>-2249.796332</v>
      </c>
      <c r="CN25" s="54">
        <f t="array" ref="CN25">-(IF(CN$2=1,Assumptions!$H26/12,-(SUMIF($D$2:$EE$2,CN$2-1,$D25:$EE25)/12)*(1+XLOOKUP(CN$2,Assumptions!$C$94:$M$94,Assumptions!$C$98:$M$98))))</f>
        <v>-2249.796332</v>
      </c>
      <c r="CO25" s="54">
        <f t="array" ref="CO25">-(IF(CO$2=1,Assumptions!$H26/12,-(SUMIF($D$2:$EE$2,CO$2-1,$D25:$EE25)/12)*(1+XLOOKUP(CO$2,Assumptions!$C$94:$M$94,Assumptions!$C$98:$M$98))))</f>
        <v>-2249.796332</v>
      </c>
      <c r="CP25" s="54">
        <f t="array" ref="CP25">-(IF(CP$2=1,Assumptions!$H26/12,-(SUMIF($D$2:$EE$2,CP$2-1,$D25:$EE25)/12)*(1+XLOOKUP(CP$2,Assumptions!$C$94:$M$94,Assumptions!$C$98:$M$98))))</f>
        <v>-2249.796332</v>
      </c>
      <c r="CQ25" s="54">
        <f t="array" ref="CQ25">-(IF(CQ$2=1,Assumptions!$H26/12,-(SUMIF($D$2:$EE$2,CQ$2-1,$D25:$EE25)/12)*(1+XLOOKUP(CQ$2,Assumptions!$C$94:$M$94,Assumptions!$C$98:$M$98))))</f>
        <v>-2249.796332</v>
      </c>
      <c r="CR25" s="54">
        <f t="array" ref="CR25">-(IF(CR$2=1,Assumptions!$H26/12,-(SUMIF($D$2:$EE$2,CR$2-1,$D25:$EE25)/12)*(1+XLOOKUP(CR$2,Assumptions!$C$94:$M$94,Assumptions!$C$98:$M$98))))</f>
        <v>-2249.796332</v>
      </c>
      <c r="CS25" s="54">
        <f t="array" ref="CS25">-(IF(CS$2=1,Assumptions!$H26/12,-(SUMIF($D$2:$EE$2,CS$2-1,$D25:$EE25)/12)*(1+XLOOKUP(CS$2,Assumptions!$C$94:$M$94,Assumptions!$C$98:$M$98))))</f>
        <v>-2249.796332</v>
      </c>
      <c r="CT25" s="54">
        <f t="array" ref="CT25">-(IF(CT$2=1,Assumptions!$H26/12,-(SUMIF($D$2:$EE$2,CT$2-1,$D25:$EE25)/12)*(1+XLOOKUP(CT$2,Assumptions!$C$94:$M$94,Assumptions!$C$98:$M$98))))</f>
        <v>-2249.796332</v>
      </c>
      <c r="CU25" s="54">
        <f t="array" ref="CU25">-(IF(CU$2=1,Assumptions!$H26/12,-(SUMIF($D$2:$EE$2,CU$2-1,$D25:$EE25)/12)*(1+XLOOKUP(CU$2,Assumptions!$C$94:$M$94,Assumptions!$C$98:$M$98))))</f>
        <v>-2249.796332</v>
      </c>
      <c r="CV25" s="54">
        <f t="array" ref="CV25">-(IF(CV$2=1,Assumptions!$H26/12,-(SUMIF($D$2:$EE$2,CV$2-1,$D25:$EE25)/12)*(1+XLOOKUP(CV$2,Assumptions!$C$94:$M$94,Assumptions!$C$98:$M$98))))</f>
        <v>-2317.290222</v>
      </c>
      <c r="CW25" s="54">
        <f t="array" ref="CW25">-(IF(CW$2=1,Assumptions!$H26/12,-(SUMIF($D$2:$EE$2,CW$2-1,$D25:$EE25)/12)*(1+XLOOKUP(CW$2,Assumptions!$C$94:$M$94,Assumptions!$C$98:$M$98))))</f>
        <v>-2317.290222</v>
      </c>
      <c r="CX25" s="54">
        <f t="array" ref="CX25">-(IF(CX$2=1,Assumptions!$H26/12,-(SUMIF($D$2:$EE$2,CX$2-1,$D25:$EE25)/12)*(1+XLOOKUP(CX$2,Assumptions!$C$94:$M$94,Assumptions!$C$98:$M$98))))</f>
        <v>-2317.290222</v>
      </c>
      <c r="CY25" s="54">
        <f t="array" ref="CY25">-(IF(CY$2=1,Assumptions!$H26/12,-(SUMIF($D$2:$EE$2,CY$2-1,$D25:$EE25)/12)*(1+XLOOKUP(CY$2,Assumptions!$C$94:$M$94,Assumptions!$C$98:$M$98))))</f>
        <v>-2317.290222</v>
      </c>
      <c r="CZ25" s="54">
        <f t="array" ref="CZ25">-(IF(CZ$2=1,Assumptions!$H26/12,-(SUMIF($D$2:$EE$2,CZ$2-1,$D25:$EE25)/12)*(1+XLOOKUP(CZ$2,Assumptions!$C$94:$M$94,Assumptions!$C$98:$M$98))))</f>
        <v>-2317.290222</v>
      </c>
      <c r="DA25" s="54">
        <f t="array" ref="DA25">-(IF(DA$2=1,Assumptions!$H26/12,-(SUMIF($D$2:$EE$2,DA$2-1,$D25:$EE25)/12)*(1+XLOOKUP(DA$2,Assumptions!$C$94:$M$94,Assumptions!$C$98:$M$98))))</f>
        <v>-2317.290222</v>
      </c>
      <c r="DB25" s="54">
        <f t="array" ref="DB25">-(IF(DB$2=1,Assumptions!$H26/12,-(SUMIF($D$2:$EE$2,DB$2-1,$D25:$EE25)/12)*(1+XLOOKUP(DB$2,Assumptions!$C$94:$M$94,Assumptions!$C$98:$M$98))))</f>
        <v>-2317.290222</v>
      </c>
      <c r="DC25" s="54">
        <f t="array" ref="DC25">-(IF(DC$2=1,Assumptions!$H26/12,-(SUMIF($D$2:$EE$2,DC$2-1,$D25:$EE25)/12)*(1+XLOOKUP(DC$2,Assumptions!$C$94:$M$94,Assumptions!$C$98:$M$98))))</f>
        <v>-2317.290222</v>
      </c>
      <c r="DD25" s="54">
        <f t="array" ref="DD25">-(IF(DD$2=1,Assumptions!$H26/12,-(SUMIF($D$2:$EE$2,DD$2-1,$D25:$EE25)/12)*(1+XLOOKUP(DD$2,Assumptions!$C$94:$M$94,Assumptions!$C$98:$M$98))))</f>
        <v>-2317.290222</v>
      </c>
      <c r="DE25" s="54">
        <f t="array" ref="DE25">-(IF(DE$2=1,Assumptions!$H26/12,-(SUMIF($D$2:$EE$2,DE$2-1,$D25:$EE25)/12)*(1+XLOOKUP(DE$2,Assumptions!$C$94:$M$94,Assumptions!$C$98:$M$98))))</f>
        <v>-2317.290222</v>
      </c>
      <c r="DF25" s="54">
        <f t="array" ref="DF25">-(IF(DF$2=1,Assumptions!$H26/12,-(SUMIF($D$2:$EE$2,DF$2-1,$D25:$EE25)/12)*(1+XLOOKUP(DF$2,Assumptions!$C$94:$M$94,Assumptions!$C$98:$M$98))))</f>
        <v>-2317.290222</v>
      </c>
      <c r="DG25" s="54">
        <f t="array" ref="DG25">-(IF(DG$2=1,Assumptions!$H26/12,-(SUMIF($D$2:$EE$2,DG$2-1,$D25:$EE25)/12)*(1+XLOOKUP(DG$2,Assumptions!$C$94:$M$94,Assumptions!$C$98:$M$98))))</f>
        <v>-2317.290222</v>
      </c>
      <c r="DH25" s="54">
        <f t="array" ref="DH25">-(IF(DH$2=1,Assumptions!$H26/12,-(SUMIF($D$2:$EE$2,DH$2-1,$D25:$EE25)/12)*(1+XLOOKUP(DH$2,Assumptions!$C$94:$M$94,Assumptions!$C$98:$M$98))))</f>
        <v>-2386.808929</v>
      </c>
      <c r="DI25" s="54">
        <f t="array" ref="DI25">-(IF(DI$2=1,Assumptions!$H26/12,-(SUMIF($D$2:$EE$2,DI$2-1,$D25:$EE25)/12)*(1+XLOOKUP(DI$2,Assumptions!$C$94:$M$94,Assumptions!$C$98:$M$98))))</f>
        <v>-2386.808929</v>
      </c>
      <c r="DJ25" s="54">
        <f t="array" ref="DJ25">-(IF(DJ$2=1,Assumptions!$H26/12,-(SUMIF($D$2:$EE$2,DJ$2-1,$D25:$EE25)/12)*(1+XLOOKUP(DJ$2,Assumptions!$C$94:$M$94,Assumptions!$C$98:$M$98))))</f>
        <v>-2386.808929</v>
      </c>
      <c r="DK25" s="54">
        <f t="array" ref="DK25">-(IF(DK$2=1,Assumptions!$H26/12,-(SUMIF($D$2:$EE$2,DK$2-1,$D25:$EE25)/12)*(1+XLOOKUP(DK$2,Assumptions!$C$94:$M$94,Assumptions!$C$98:$M$98))))</f>
        <v>-2386.808929</v>
      </c>
      <c r="DL25" s="54">
        <f t="array" ref="DL25">-(IF(DL$2=1,Assumptions!$H26/12,-(SUMIF($D$2:$EE$2,DL$2-1,$D25:$EE25)/12)*(1+XLOOKUP(DL$2,Assumptions!$C$94:$M$94,Assumptions!$C$98:$M$98))))</f>
        <v>-2386.808929</v>
      </c>
      <c r="DM25" s="54">
        <f t="array" ref="DM25">-(IF(DM$2=1,Assumptions!$H26/12,-(SUMIF($D$2:$EE$2,DM$2-1,$D25:$EE25)/12)*(1+XLOOKUP(DM$2,Assumptions!$C$94:$M$94,Assumptions!$C$98:$M$98))))</f>
        <v>-2386.808929</v>
      </c>
      <c r="DN25" s="54">
        <f t="array" ref="DN25">-(IF(DN$2=1,Assumptions!$H26/12,-(SUMIF($D$2:$EE$2,DN$2-1,$D25:$EE25)/12)*(1+XLOOKUP(DN$2,Assumptions!$C$94:$M$94,Assumptions!$C$98:$M$98))))</f>
        <v>-2386.808929</v>
      </c>
      <c r="DO25" s="54">
        <f t="array" ref="DO25">-(IF(DO$2=1,Assumptions!$H26/12,-(SUMIF($D$2:$EE$2,DO$2-1,$D25:$EE25)/12)*(1+XLOOKUP(DO$2,Assumptions!$C$94:$M$94,Assumptions!$C$98:$M$98))))</f>
        <v>-2386.808929</v>
      </c>
      <c r="DP25" s="54">
        <f t="array" ref="DP25">-(IF(DP$2=1,Assumptions!$H26/12,-(SUMIF($D$2:$EE$2,DP$2-1,$D25:$EE25)/12)*(1+XLOOKUP(DP$2,Assumptions!$C$94:$M$94,Assumptions!$C$98:$M$98))))</f>
        <v>-2386.808929</v>
      </c>
      <c r="DQ25" s="54">
        <f t="array" ref="DQ25">-(IF(DQ$2=1,Assumptions!$H26/12,-(SUMIF($D$2:$EE$2,DQ$2-1,$D25:$EE25)/12)*(1+XLOOKUP(DQ$2,Assumptions!$C$94:$M$94,Assumptions!$C$98:$M$98))))</f>
        <v>-2386.808929</v>
      </c>
      <c r="DR25" s="54">
        <f t="array" ref="DR25">-(IF(DR$2=1,Assumptions!$H26/12,-(SUMIF($D$2:$EE$2,DR$2-1,$D25:$EE25)/12)*(1+XLOOKUP(DR$2,Assumptions!$C$94:$M$94,Assumptions!$C$98:$M$98))))</f>
        <v>-2386.808929</v>
      </c>
      <c r="DS25" s="54">
        <f t="array" ref="DS25">-(IF(DS$2=1,Assumptions!$H26/12,-(SUMIF($D$2:$EE$2,DS$2-1,$D25:$EE25)/12)*(1+XLOOKUP(DS$2,Assumptions!$C$94:$M$94,Assumptions!$C$98:$M$98))))</f>
        <v>-2386.808929</v>
      </c>
      <c r="DT25" s="54">
        <f t="array" ref="DT25">-(IF(DT$2=1,Assumptions!$H26/12,-(SUMIF($D$2:$EE$2,DT$2-1,$D25:$EE25)/12)*(1+XLOOKUP(DT$2,Assumptions!$C$94:$M$94,Assumptions!$C$98:$M$98))))</f>
        <v>-2458.413197</v>
      </c>
      <c r="DU25" s="54">
        <f t="array" ref="DU25">-(IF(DU$2=1,Assumptions!$H26/12,-(SUMIF($D$2:$EE$2,DU$2-1,$D25:$EE25)/12)*(1+XLOOKUP(DU$2,Assumptions!$C$94:$M$94,Assumptions!$C$98:$M$98))))</f>
        <v>-2458.413197</v>
      </c>
      <c r="DV25" s="54">
        <f t="array" ref="DV25">-(IF(DV$2=1,Assumptions!$H26/12,-(SUMIF($D$2:$EE$2,DV$2-1,$D25:$EE25)/12)*(1+XLOOKUP(DV$2,Assumptions!$C$94:$M$94,Assumptions!$C$98:$M$98))))</f>
        <v>-2458.413197</v>
      </c>
      <c r="DW25" s="54">
        <f t="array" ref="DW25">-(IF(DW$2=1,Assumptions!$H26/12,-(SUMIF($D$2:$EE$2,DW$2-1,$D25:$EE25)/12)*(1+XLOOKUP(DW$2,Assumptions!$C$94:$M$94,Assumptions!$C$98:$M$98))))</f>
        <v>-2458.413197</v>
      </c>
      <c r="DX25" s="54">
        <f t="array" ref="DX25">-(IF(DX$2=1,Assumptions!$H26/12,-(SUMIF($D$2:$EE$2,DX$2-1,$D25:$EE25)/12)*(1+XLOOKUP(DX$2,Assumptions!$C$94:$M$94,Assumptions!$C$98:$M$98))))</f>
        <v>-2458.413197</v>
      </c>
      <c r="DY25" s="54">
        <f t="array" ref="DY25">-(IF(DY$2=1,Assumptions!$H26/12,-(SUMIF($D$2:$EE$2,DY$2-1,$D25:$EE25)/12)*(1+XLOOKUP(DY$2,Assumptions!$C$94:$M$94,Assumptions!$C$98:$M$98))))</f>
        <v>-2458.413197</v>
      </c>
      <c r="DZ25" s="54">
        <f t="array" ref="DZ25">-(IF(DZ$2=1,Assumptions!$H26/12,-(SUMIF($D$2:$EE$2,DZ$2-1,$D25:$EE25)/12)*(1+XLOOKUP(DZ$2,Assumptions!$C$94:$M$94,Assumptions!$C$98:$M$98))))</f>
        <v>-2458.413197</v>
      </c>
      <c r="EA25" s="54">
        <f t="array" ref="EA25">-(IF(EA$2=1,Assumptions!$H26/12,-(SUMIF($D$2:$EE$2,EA$2-1,$D25:$EE25)/12)*(1+XLOOKUP(EA$2,Assumptions!$C$94:$M$94,Assumptions!$C$98:$M$98))))</f>
        <v>-2458.413197</v>
      </c>
      <c r="EB25" s="54">
        <f t="array" ref="EB25">-(IF(EB$2=1,Assumptions!$H26/12,-(SUMIF($D$2:$EE$2,EB$2-1,$D25:$EE25)/12)*(1+XLOOKUP(EB$2,Assumptions!$C$94:$M$94,Assumptions!$C$98:$M$98))))</f>
        <v>-2458.413197</v>
      </c>
      <c r="EC25" s="54">
        <f t="array" ref="EC25">-(IF(EC$2=1,Assumptions!$H26/12,-(SUMIF($D$2:$EE$2,EC$2-1,$D25:$EE25)/12)*(1+XLOOKUP(EC$2,Assumptions!$C$94:$M$94,Assumptions!$C$98:$M$98))))</f>
        <v>-2458.413197</v>
      </c>
      <c r="ED25" s="54">
        <f t="array" ref="ED25">-(IF(ED$2=1,Assumptions!$H26/12,-(SUMIF($D$2:$EE$2,ED$2-1,$D25:$EE25)/12)*(1+XLOOKUP(ED$2,Assumptions!$C$94:$M$94,Assumptions!$C$98:$M$98))))</f>
        <v>-2458.413197</v>
      </c>
      <c r="EE25" s="54">
        <f t="array" ref="EE25">-(IF(EE$2=1,Assumptions!$H26/12,-(SUMIF($D$2:$EE$2,EE$2-1,$D25:$EE25)/12)*(1+XLOOKUP(EE$2,Assumptions!$C$94:$M$94,Assumptions!$C$98:$M$98))))</f>
        <v>-2458.413197</v>
      </c>
    </row>
    <row r="26" ht="15.75" customHeight="1">
      <c r="A26" s="1"/>
      <c r="B26" s="1"/>
      <c r="C26" s="1" t="str">
        <f>Assumptions!B27</f>
        <v>Electricity</v>
      </c>
      <c r="D26" s="54">
        <f t="array" ref="D26">-(IF(D$2=1,Assumptions!$H27/12,-(SUMIF($D$2:$EE$2,D$2-1,$D26:$EE26)/12)*(1+XLOOKUP(D$2,Assumptions!$C$94:$M$94,Assumptions!$C$98:$M$98))))</f>
        <v>-3517.52174</v>
      </c>
      <c r="E26" s="54">
        <f t="array" ref="E26">-(IF(E$2=1,Assumptions!$H27/12,-(SUMIF($D$2:$EE$2,E$2-1,$D26:$EE26)/12)*(1+XLOOKUP(E$2,Assumptions!$C$94:$M$94,Assumptions!$C$98:$M$98))))</f>
        <v>-3517.52174</v>
      </c>
      <c r="F26" s="54">
        <f t="array" ref="F26">-(IF(F$2=1,Assumptions!$H27/12,-(SUMIF($D$2:$EE$2,F$2-1,$D26:$EE26)/12)*(1+XLOOKUP(F$2,Assumptions!$C$94:$M$94,Assumptions!$C$98:$M$98))))</f>
        <v>-3517.52174</v>
      </c>
      <c r="G26" s="54">
        <f t="array" ref="G26">-(IF(G$2=1,Assumptions!$H27/12,-(SUMIF($D$2:$EE$2,G$2-1,$D26:$EE26)/12)*(1+XLOOKUP(G$2,Assumptions!$C$94:$M$94,Assumptions!$C$98:$M$98))))</f>
        <v>-3517.52174</v>
      </c>
      <c r="H26" s="54">
        <f t="array" ref="H26">-(IF(H$2=1,Assumptions!$H27/12,-(SUMIF($D$2:$EE$2,H$2-1,$D26:$EE26)/12)*(1+XLOOKUP(H$2,Assumptions!$C$94:$M$94,Assumptions!$C$98:$M$98))))</f>
        <v>-3517.52174</v>
      </c>
      <c r="I26" s="54">
        <f t="array" ref="I26">-(IF(I$2=1,Assumptions!$H27/12,-(SUMIF($D$2:$EE$2,I$2-1,$D26:$EE26)/12)*(1+XLOOKUP(I$2,Assumptions!$C$94:$M$94,Assumptions!$C$98:$M$98))))</f>
        <v>-3517.52174</v>
      </c>
      <c r="J26" s="54">
        <f t="array" ref="J26">-(IF(J$2=1,Assumptions!$H27/12,-(SUMIF($D$2:$EE$2,J$2-1,$D26:$EE26)/12)*(1+XLOOKUP(J$2,Assumptions!$C$94:$M$94,Assumptions!$C$98:$M$98))))</f>
        <v>-3517.52174</v>
      </c>
      <c r="K26" s="54">
        <f t="array" ref="K26">-(IF(K$2=1,Assumptions!$H27/12,-(SUMIF($D$2:$EE$2,K$2-1,$D26:$EE26)/12)*(1+XLOOKUP(K$2,Assumptions!$C$94:$M$94,Assumptions!$C$98:$M$98))))</f>
        <v>-3517.52174</v>
      </c>
      <c r="L26" s="54">
        <f t="array" ref="L26">-(IF(L$2=1,Assumptions!$H27/12,-(SUMIF($D$2:$EE$2,L$2-1,$D26:$EE26)/12)*(1+XLOOKUP(L$2,Assumptions!$C$94:$M$94,Assumptions!$C$98:$M$98))))</f>
        <v>-3517.52174</v>
      </c>
      <c r="M26" s="54">
        <f t="array" ref="M26">-(IF(M$2=1,Assumptions!$H27/12,-(SUMIF($D$2:$EE$2,M$2-1,$D26:$EE26)/12)*(1+XLOOKUP(M$2,Assumptions!$C$94:$M$94,Assumptions!$C$98:$M$98))))</f>
        <v>-3517.52174</v>
      </c>
      <c r="N26" s="54">
        <f t="array" ref="N26">-(IF(N$2=1,Assumptions!$H27/12,-(SUMIF($D$2:$EE$2,N$2-1,$D26:$EE26)/12)*(1+XLOOKUP(N$2,Assumptions!$C$94:$M$94,Assumptions!$C$98:$M$98))))</f>
        <v>-3517.52174</v>
      </c>
      <c r="O26" s="54">
        <f t="array" ref="O26">-(IF(O$2=1,Assumptions!$H27/12,-(SUMIF($D$2:$EE$2,O$2-1,$D26:$EE26)/12)*(1+XLOOKUP(O$2,Assumptions!$C$94:$M$94,Assumptions!$C$98:$M$98))))</f>
        <v>-3517.52174</v>
      </c>
      <c r="P26" s="54">
        <f t="array" ref="P26">-(IF(P$2=1,Assumptions!$H27/12,-(SUMIF($D$2:$EE$2,P$2-1,$D26:$EE26)/12)*(1+XLOOKUP(P$2,Assumptions!$C$94:$M$94,Assumptions!$C$98:$M$98))))</f>
        <v>-3623.047392</v>
      </c>
      <c r="Q26" s="54">
        <f t="array" ref="Q26">-(IF(Q$2=1,Assumptions!$H27/12,-(SUMIF($D$2:$EE$2,Q$2-1,$D26:$EE26)/12)*(1+XLOOKUP(Q$2,Assumptions!$C$94:$M$94,Assumptions!$C$98:$M$98))))</f>
        <v>-3623.047392</v>
      </c>
      <c r="R26" s="54">
        <f t="array" ref="R26">-(IF(R$2=1,Assumptions!$H27/12,-(SUMIF($D$2:$EE$2,R$2-1,$D26:$EE26)/12)*(1+XLOOKUP(R$2,Assumptions!$C$94:$M$94,Assumptions!$C$98:$M$98))))</f>
        <v>-3623.047392</v>
      </c>
      <c r="S26" s="54">
        <f t="array" ref="S26">-(IF(S$2=1,Assumptions!$H27/12,-(SUMIF($D$2:$EE$2,S$2-1,$D26:$EE26)/12)*(1+XLOOKUP(S$2,Assumptions!$C$94:$M$94,Assumptions!$C$98:$M$98))))</f>
        <v>-3623.047392</v>
      </c>
      <c r="T26" s="54">
        <f t="array" ref="T26">-(IF(T$2=1,Assumptions!$H27/12,-(SUMIF($D$2:$EE$2,T$2-1,$D26:$EE26)/12)*(1+XLOOKUP(T$2,Assumptions!$C$94:$M$94,Assumptions!$C$98:$M$98))))</f>
        <v>-3623.047392</v>
      </c>
      <c r="U26" s="54">
        <f t="array" ref="U26">-(IF(U$2=1,Assumptions!$H27/12,-(SUMIF($D$2:$EE$2,U$2-1,$D26:$EE26)/12)*(1+XLOOKUP(U$2,Assumptions!$C$94:$M$94,Assumptions!$C$98:$M$98))))</f>
        <v>-3623.047392</v>
      </c>
      <c r="V26" s="54">
        <f t="array" ref="V26">-(IF(V$2=1,Assumptions!$H27/12,-(SUMIF($D$2:$EE$2,V$2-1,$D26:$EE26)/12)*(1+XLOOKUP(V$2,Assumptions!$C$94:$M$94,Assumptions!$C$98:$M$98))))</f>
        <v>-3623.047392</v>
      </c>
      <c r="W26" s="54">
        <f t="array" ref="W26">-(IF(W$2=1,Assumptions!$H27/12,-(SUMIF($D$2:$EE$2,W$2-1,$D26:$EE26)/12)*(1+XLOOKUP(W$2,Assumptions!$C$94:$M$94,Assumptions!$C$98:$M$98))))</f>
        <v>-3623.047392</v>
      </c>
      <c r="X26" s="54">
        <f t="array" ref="X26">-(IF(X$2=1,Assumptions!$H27/12,-(SUMIF($D$2:$EE$2,X$2-1,$D26:$EE26)/12)*(1+XLOOKUP(X$2,Assumptions!$C$94:$M$94,Assumptions!$C$98:$M$98))))</f>
        <v>-3623.047392</v>
      </c>
      <c r="Y26" s="54">
        <f t="array" ref="Y26">-(IF(Y$2=1,Assumptions!$H27/12,-(SUMIF($D$2:$EE$2,Y$2-1,$D26:$EE26)/12)*(1+XLOOKUP(Y$2,Assumptions!$C$94:$M$94,Assumptions!$C$98:$M$98))))</f>
        <v>-3623.047392</v>
      </c>
      <c r="Z26" s="54">
        <f t="array" ref="Z26">-(IF(Z$2=1,Assumptions!$H27/12,-(SUMIF($D$2:$EE$2,Z$2-1,$D26:$EE26)/12)*(1+XLOOKUP(Z$2,Assumptions!$C$94:$M$94,Assumptions!$C$98:$M$98))))</f>
        <v>-3623.047392</v>
      </c>
      <c r="AA26" s="54">
        <f t="array" ref="AA26">-(IF(AA$2=1,Assumptions!$H27/12,-(SUMIF($D$2:$EE$2,AA$2-1,$D26:$EE26)/12)*(1+XLOOKUP(AA$2,Assumptions!$C$94:$M$94,Assumptions!$C$98:$M$98))))</f>
        <v>-3623.047392</v>
      </c>
      <c r="AB26" s="54">
        <f t="array" ref="AB26">-(IF(AB$2=1,Assumptions!$H27/12,-(SUMIF($D$2:$EE$2,AB$2-1,$D26:$EE26)/12)*(1+XLOOKUP(AB$2,Assumptions!$C$94:$M$94,Assumptions!$C$98:$M$98))))</f>
        <v>-3731.738813</v>
      </c>
      <c r="AC26" s="54">
        <f t="array" ref="AC26">-(IF(AC$2=1,Assumptions!$H27/12,-(SUMIF($D$2:$EE$2,AC$2-1,$D26:$EE26)/12)*(1+XLOOKUP(AC$2,Assumptions!$C$94:$M$94,Assumptions!$C$98:$M$98))))</f>
        <v>-3731.738813</v>
      </c>
      <c r="AD26" s="54">
        <f t="array" ref="AD26">-(IF(AD$2=1,Assumptions!$H27/12,-(SUMIF($D$2:$EE$2,AD$2-1,$D26:$EE26)/12)*(1+XLOOKUP(AD$2,Assumptions!$C$94:$M$94,Assumptions!$C$98:$M$98))))</f>
        <v>-3731.738813</v>
      </c>
      <c r="AE26" s="54">
        <f t="array" ref="AE26">-(IF(AE$2=1,Assumptions!$H27/12,-(SUMIF($D$2:$EE$2,AE$2-1,$D26:$EE26)/12)*(1+XLOOKUP(AE$2,Assumptions!$C$94:$M$94,Assumptions!$C$98:$M$98))))</f>
        <v>-3731.738813</v>
      </c>
      <c r="AF26" s="54">
        <f t="array" ref="AF26">-(IF(AF$2=1,Assumptions!$H27/12,-(SUMIF($D$2:$EE$2,AF$2-1,$D26:$EE26)/12)*(1+XLOOKUP(AF$2,Assumptions!$C$94:$M$94,Assumptions!$C$98:$M$98))))</f>
        <v>-3731.738813</v>
      </c>
      <c r="AG26" s="54">
        <f t="array" ref="AG26">-(IF(AG$2=1,Assumptions!$H27/12,-(SUMIF($D$2:$EE$2,AG$2-1,$D26:$EE26)/12)*(1+XLOOKUP(AG$2,Assumptions!$C$94:$M$94,Assumptions!$C$98:$M$98))))</f>
        <v>-3731.738813</v>
      </c>
      <c r="AH26" s="54">
        <f t="array" ref="AH26">-(IF(AH$2=1,Assumptions!$H27/12,-(SUMIF($D$2:$EE$2,AH$2-1,$D26:$EE26)/12)*(1+XLOOKUP(AH$2,Assumptions!$C$94:$M$94,Assumptions!$C$98:$M$98))))</f>
        <v>-3731.738813</v>
      </c>
      <c r="AI26" s="54">
        <f t="array" ref="AI26">-(IF(AI$2=1,Assumptions!$H27/12,-(SUMIF($D$2:$EE$2,AI$2-1,$D26:$EE26)/12)*(1+XLOOKUP(AI$2,Assumptions!$C$94:$M$94,Assumptions!$C$98:$M$98))))</f>
        <v>-3731.738813</v>
      </c>
      <c r="AJ26" s="54">
        <f t="array" ref="AJ26">-(IF(AJ$2=1,Assumptions!$H27/12,-(SUMIF($D$2:$EE$2,AJ$2-1,$D26:$EE26)/12)*(1+XLOOKUP(AJ$2,Assumptions!$C$94:$M$94,Assumptions!$C$98:$M$98))))</f>
        <v>-3731.738813</v>
      </c>
      <c r="AK26" s="54">
        <f t="array" ref="AK26">-(IF(AK$2=1,Assumptions!$H27/12,-(SUMIF($D$2:$EE$2,AK$2-1,$D26:$EE26)/12)*(1+XLOOKUP(AK$2,Assumptions!$C$94:$M$94,Assumptions!$C$98:$M$98))))</f>
        <v>-3731.738813</v>
      </c>
      <c r="AL26" s="54">
        <f t="array" ref="AL26">-(IF(AL$2=1,Assumptions!$H27/12,-(SUMIF($D$2:$EE$2,AL$2-1,$D26:$EE26)/12)*(1+XLOOKUP(AL$2,Assumptions!$C$94:$M$94,Assumptions!$C$98:$M$98))))</f>
        <v>-3731.738813</v>
      </c>
      <c r="AM26" s="54">
        <f t="array" ref="AM26">-(IF(AM$2=1,Assumptions!$H27/12,-(SUMIF($D$2:$EE$2,AM$2-1,$D26:$EE26)/12)*(1+XLOOKUP(AM$2,Assumptions!$C$94:$M$94,Assumptions!$C$98:$M$98))))</f>
        <v>-3731.738813</v>
      </c>
      <c r="AN26" s="54">
        <f t="array" ref="AN26">-(IF(AN$2=1,Assumptions!$H27/12,-(SUMIF($D$2:$EE$2,AN$2-1,$D26:$EE26)/12)*(1+XLOOKUP(AN$2,Assumptions!$C$94:$M$94,Assumptions!$C$98:$M$98))))</f>
        <v>-3843.690978</v>
      </c>
      <c r="AO26" s="54">
        <f t="array" ref="AO26">-(IF(AO$2=1,Assumptions!$H27/12,-(SUMIF($D$2:$EE$2,AO$2-1,$D26:$EE26)/12)*(1+XLOOKUP(AO$2,Assumptions!$C$94:$M$94,Assumptions!$C$98:$M$98))))</f>
        <v>-3843.690978</v>
      </c>
      <c r="AP26" s="54">
        <f t="array" ref="AP26">-(IF(AP$2=1,Assumptions!$H27/12,-(SUMIF($D$2:$EE$2,AP$2-1,$D26:$EE26)/12)*(1+XLOOKUP(AP$2,Assumptions!$C$94:$M$94,Assumptions!$C$98:$M$98))))</f>
        <v>-3843.690978</v>
      </c>
      <c r="AQ26" s="54">
        <f t="array" ref="AQ26">-(IF(AQ$2=1,Assumptions!$H27/12,-(SUMIF($D$2:$EE$2,AQ$2-1,$D26:$EE26)/12)*(1+XLOOKUP(AQ$2,Assumptions!$C$94:$M$94,Assumptions!$C$98:$M$98))))</f>
        <v>-3843.690978</v>
      </c>
      <c r="AR26" s="54">
        <f t="array" ref="AR26">-(IF(AR$2=1,Assumptions!$H27/12,-(SUMIF($D$2:$EE$2,AR$2-1,$D26:$EE26)/12)*(1+XLOOKUP(AR$2,Assumptions!$C$94:$M$94,Assumptions!$C$98:$M$98))))</f>
        <v>-3843.690978</v>
      </c>
      <c r="AS26" s="54">
        <f t="array" ref="AS26">-(IF(AS$2=1,Assumptions!$H27/12,-(SUMIF($D$2:$EE$2,AS$2-1,$D26:$EE26)/12)*(1+XLOOKUP(AS$2,Assumptions!$C$94:$M$94,Assumptions!$C$98:$M$98))))</f>
        <v>-3843.690978</v>
      </c>
      <c r="AT26" s="54">
        <f t="array" ref="AT26">-(IF(AT$2=1,Assumptions!$H27/12,-(SUMIF($D$2:$EE$2,AT$2-1,$D26:$EE26)/12)*(1+XLOOKUP(AT$2,Assumptions!$C$94:$M$94,Assumptions!$C$98:$M$98))))</f>
        <v>-3843.690978</v>
      </c>
      <c r="AU26" s="54">
        <f t="array" ref="AU26">-(IF(AU$2=1,Assumptions!$H27/12,-(SUMIF($D$2:$EE$2,AU$2-1,$D26:$EE26)/12)*(1+XLOOKUP(AU$2,Assumptions!$C$94:$M$94,Assumptions!$C$98:$M$98))))</f>
        <v>-3843.690978</v>
      </c>
      <c r="AV26" s="54">
        <f t="array" ref="AV26">-(IF(AV$2=1,Assumptions!$H27/12,-(SUMIF($D$2:$EE$2,AV$2-1,$D26:$EE26)/12)*(1+XLOOKUP(AV$2,Assumptions!$C$94:$M$94,Assumptions!$C$98:$M$98))))</f>
        <v>-3843.690978</v>
      </c>
      <c r="AW26" s="54">
        <f t="array" ref="AW26">-(IF(AW$2=1,Assumptions!$H27/12,-(SUMIF($D$2:$EE$2,AW$2-1,$D26:$EE26)/12)*(1+XLOOKUP(AW$2,Assumptions!$C$94:$M$94,Assumptions!$C$98:$M$98))))</f>
        <v>-3843.690978</v>
      </c>
      <c r="AX26" s="54">
        <f t="array" ref="AX26">-(IF(AX$2=1,Assumptions!$H27/12,-(SUMIF($D$2:$EE$2,AX$2-1,$D26:$EE26)/12)*(1+XLOOKUP(AX$2,Assumptions!$C$94:$M$94,Assumptions!$C$98:$M$98))))</f>
        <v>-3843.690978</v>
      </c>
      <c r="AY26" s="54">
        <f t="array" ref="AY26">-(IF(AY$2=1,Assumptions!$H27/12,-(SUMIF($D$2:$EE$2,AY$2-1,$D26:$EE26)/12)*(1+XLOOKUP(AY$2,Assumptions!$C$94:$M$94,Assumptions!$C$98:$M$98))))</f>
        <v>-3843.690978</v>
      </c>
      <c r="AZ26" s="54">
        <f t="array" ref="AZ26">-(IF(AZ$2=1,Assumptions!$H27/12,-(SUMIF($D$2:$EE$2,AZ$2-1,$D26:$EE26)/12)*(1+XLOOKUP(AZ$2,Assumptions!$C$94:$M$94,Assumptions!$C$98:$M$98))))</f>
        <v>-3959.001707</v>
      </c>
      <c r="BA26" s="54">
        <f t="array" ref="BA26">-(IF(BA$2=1,Assumptions!$H27/12,-(SUMIF($D$2:$EE$2,BA$2-1,$D26:$EE26)/12)*(1+XLOOKUP(BA$2,Assumptions!$C$94:$M$94,Assumptions!$C$98:$M$98))))</f>
        <v>-3959.001707</v>
      </c>
      <c r="BB26" s="54">
        <f t="array" ref="BB26">-(IF(BB$2=1,Assumptions!$H27/12,-(SUMIF($D$2:$EE$2,BB$2-1,$D26:$EE26)/12)*(1+XLOOKUP(BB$2,Assumptions!$C$94:$M$94,Assumptions!$C$98:$M$98))))</f>
        <v>-3959.001707</v>
      </c>
      <c r="BC26" s="54">
        <f t="array" ref="BC26">-(IF(BC$2=1,Assumptions!$H27/12,-(SUMIF($D$2:$EE$2,BC$2-1,$D26:$EE26)/12)*(1+XLOOKUP(BC$2,Assumptions!$C$94:$M$94,Assumptions!$C$98:$M$98))))</f>
        <v>-3959.001707</v>
      </c>
      <c r="BD26" s="54">
        <f t="array" ref="BD26">-(IF(BD$2=1,Assumptions!$H27/12,-(SUMIF($D$2:$EE$2,BD$2-1,$D26:$EE26)/12)*(1+XLOOKUP(BD$2,Assumptions!$C$94:$M$94,Assumptions!$C$98:$M$98))))</f>
        <v>-3959.001707</v>
      </c>
      <c r="BE26" s="54">
        <f t="array" ref="BE26">-(IF(BE$2=1,Assumptions!$H27/12,-(SUMIF($D$2:$EE$2,BE$2-1,$D26:$EE26)/12)*(1+XLOOKUP(BE$2,Assumptions!$C$94:$M$94,Assumptions!$C$98:$M$98))))</f>
        <v>-3959.001707</v>
      </c>
      <c r="BF26" s="54">
        <f t="array" ref="BF26">-(IF(BF$2=1,Assumptions!$H27/12,-(SUMIF($D$2:$EE$2,BF$2-1,$D26:$EE26)/12)*(1+XLOOKUP(BF$2,Assumptions!$C$94:$M$94,Assumptions!$C$98:$M$98))))</f>
        <v>-3959.001707</v>
      </c>
      <c r="BG26" s="54">
        <f t="array" ref="BG26">-(IF(BG$2=1,Assumptions!$H27/12,-(SUMIF($D$2:$EE$2,BG$2-1,$D26:$EE26)/12)*(1+XLOOKUP(BG$2,Assumptions!$C$94:$M$94,Assumptions!$C$98:$M$98))))</f>
        <v>-3959.001707</v>
      </c>
      <c r="BH26" s="54">
        <f t="array" ref="BH26">-(IF(BH$2=1,Assumptions!$H27/12,-(SUMIF($D$2:$EE$2,BH$2-1,$D26:$EE26)/12)*(1+XLOOKUP(BH$2,Assumptions!$C$94:$M$94,Assumptions!$C$98:$M$98))))</f>
        <v>-3959.001707</v>
      </c>
      <c r="BI26" s="54">
        <f t="array" ref="BI26">-(IF(BI$2=1,Assumptions!$H27/12,-(SUMIF($D$2:$EE$2,BI$2-1,$D26:$EE26)/12)*(1+XLOOKUP(BI$2,Assumptions!$C$94:$M$94,Assumptions!$C$98:$M$98))))</f>
        <v>-3959.001707</v>
      </c>
      <c r="BJ26" s="54">
        <f t="array" ref="BJ26">-(IF(BJ$2=1,Assumptions!$H27/12,-(SUMIF($D$2:$EE$2,BJ$2-1,$D26:$EE26)/12)*(1+XLOOKUP(BJ$2,Assumptions!$C$94:$M$94,Assumptions!$C$98:$M$98))))</f>
        <v>-3959.001707</v>
      </c>
      <c r="BK26" s="54">
        <f t="array" ref="BK26">-(IF(BK$2=1,Assumptions!$H27/12,-(SUMIF($D$2:$EE$2,BK$2-1,$D26:$EE26)/12)*(1+XLOOKUP(BK$2,Assumptions!$C$94:$M$94,Assumptions!$C$98:$M$98))))</f>
        <v>-3959.001707</v>
      </c>
      <c r="BL26" s="54">
        <f t="array" ref="BL26">-(IF(BL$2=1,Assumptions!$H27/12,-(SUMIF($D$2:$EE$2,BL$2-1,$D26:$EE26)/12)*(1+XLOOKUP(BL$2,Assumptions!$C$94:$M$94,Assumptions!$C$98:$M$98))))</f>
        <v>-4077.771758</v>
      </c>
      <c r="BM26" s="54">
        <f t="array" ref="BM26">-(IF(BM$2=1,Assumptions!$H27/12,-(SUMIF($D$2:$EE$2,BM$2-1,$D26:$EE26)/12)*(1+XLOOKUP(BM$2,Assumptions!$C$94:$M$94,Assumptions!$C$98:$M$98))))</f>
        <v>-4077.771758</v>
      </c>
      <c r="BN26" s="54">
        <f t="array" ref="BN26">-(IF(BN$2=1,Assumptions!$H27/12,-(SUMIF($D$2:$EE$2,BN$2-1,$D26:$EE26)/12)*(1+XLOOKUP(BN$2,Assumptions!$C$94:$M$94,Assumptions!$C$98:$M$98))))</f>
        <v>-4077.771758</v>
      </c>
      <c r="BO26" s="54">
        <f t="array" ref="BO26">-(IF(BO$2=1,Assumptions!$H27/12,-(SUMIF($D$2:$EE$2,BO$2-1,$D26:$EE26)/12)*(1+XLOOKUP(BO$2,Assumptions!$C$94:$M$94,Assumptions!$C$98:$M$98))))</f>
        <v>-4077.771758</v>
      </c>
      <c r="BP26" s="54">
        <f t="array" ref="BP26">-(IF(BP$2=1,Assumptions!$H27/12,-(SUMIF($D$2:$EE$2,BP$2-1,$D26:$EE26)/12)*(1+XLOOKUP(BP$2,Assumptions!$C$94:$M$94,Assumptions!$C$98:$M$98))))</f>
        <v>-4077.771758</v>
      </c>
      <c r="BQ26" s="54">
        <f t="array" ref="BQ26">-(IF(BQ$2=1,Assumptions!$H27/12,-(SUMIF($D$2:$EE$2,BQ$2-1,$D26:$EE26)/12)*(1+XLOOKUP(BQ$2,Assumptions!$C$94:$M$94,Assumptions!$C$98:$M$98))))</f>
        <v>-4077.771758</v>
      </c>
      <c r="BR26" s="54">
        <f t="array" ref="BR26">-(IF(BR$2=1,Assumptions!$H27/12,-(SUMIF($D$2:$EE$2,BR$2-1,$D26:$EE26)/12)*(1+XLOOKUP(BR$2,Assumptions!$C$94:$M$94,Assumptions!$C$98:$M$98))))</f>
        <v>-4077.771758</v>
      </c>
      <c r="BS26" s="54">
        <f t="array" ref="BS26">-(IF(BS$2=1,Assumptions!$H27/12,-(SUMIF($D$2:$EE$2,BS$2-1,$D26:$EE26)/12)*(1+XLOOKUP(BS$2,Assumptions!$C$94:$M$94,Assumptions!$C$98:$M$98))))</f>
        <v>-4077.771758</v>
      </c>
      <c r="BT26" s="54">
        <f t="array" ref="BT26">-(IF(BT$2=1,Assumptions!$H27/12,-(SUMIF($D$2:$EE$2,BT$2-1,$D26:$EE26)/12)*(1+XLOOKUP(BT$2,Assumptions!$C$94:$M$94,Assumptions!$C$98:$M$98))))</f>
        <v>-4077.771758</v>
      </c>
      <c r="BU26" s="54">
        <f t="array" ref="BU26">-(IF(BU$2=1,Assumptions!$H27/12,-(SUMIF($D$2:$EE$2,BU$2-1,$D26:$EE26)/12)*(1+XLOOKUP(BU$2,Assumptions!$C$94:$M$94,Assumptions!$C$98:$M$98))))</f>
        <v>-4077.771758</v>
      </c>
      <c r="BV26" s="54">
        <f t="array" ref="BV26">-(IF(BV$2=1,Assumptions!$H27/12,-(SUMIF($D$2:$EE$2,BV$2-1,$D26:$EE26)/12)*(1+XLOOKUP(BV$2,Assumptions!$C$94:$M$94,Assumptions!$C$98:$M$98))))</f>
        <v>-4077.771758</v>
      </c>
      <c r="BW26" s="54">
        <f t="array" ref="BW26">-(IF(BW$2=1,Assumptions!$H27/12,-(SUMIF($D$2:$EE$2,BW$2-1,$D26:$EE26)/12)*(1+XLOOKUP(BW$2,Assumptions!$C$94:$M$94,Assumptions!$C$98:$M$98))))</f>
        <v>-4077.771758</v>
      </c>
      <c r="BX26" s="54">
        <f t="array" ref="BX26">-(IF(BX$2=1,Assumptions!$H27/12,-(SUMIF($D$2:$EE$2,BX$2-1,$D26:$EE26)/12)*(1+XLOOKUP(BX$2,Assumptions!$C$94:$M$94,Assumptions!$C$98:$M$98))))</f>
        <v>-4200.104911</v>
      </c>
      <c r="BY26" s="54">
        <f t="array" ref="BY26">-(IF(BY$2=1,Assumptions!$H27/12,-(SUMIF($D$2:$EE$2,BY$2-1,$D26:$EE26)/12)*(1+XLOOKUP(BY$2,Assumptions!$C$94:$M$94,Assumptions!$C$98:$M$98))))</f>
        <v>-4200.104911</v>
      </c>
      <c r="BZ26" s="54">
        <f t="array" ref="BZ26">-(IF(BZ$2=1,Assumptions!$H27/12,-(SUMIF($D$2:$EE$2,BZ$2-1,$D26:$EE26)/12)*(1+XLOOKUP(BZ$2,Assumptions!$C$94:$M$94,Assumptions!$C$98:$M$98))))</f>
        <v>-4200.104911</v>
      </c>
      <c r="CA26" s="54">
        <f t="array" ref="CA26">-(IF(CA$2=1,Assumptions!$H27/12,-(SUMIF($D$2:$EE$2,CA$2-1,$D26:$EE26)/12)*(1+XLOOKUP(CA$2,Assumptions!$C$94:$M$94,Assumptions!$C$98:$M$98))))</f>
        <v>-4200.104911</v>
      </c>
      <c r="CB26" s="54">
        <f t="array" ref="CB26">-(IF(CB$2=1,Assumptions!$H27/12,-(SUMIF($D$2:$EE$2,CB$2-1,$D26:$EE26)/12)*(1+XLOOKUP(CB$2,Assumptions!$C$94:$M$94,Assumptions!$C$98:$M$98))))</f>
        <v>-4200.104911</v>
      </c>
      <c r="CC26" s="54">
        <f t="array" ref="CC26">-(IF(CC$2=1,Assumptions!$H27/12,-(SUMIF($D$2:$EE$2,CC$2-1,$D26:$EE26)/12)*(1+XLOOKUP(CC$2,Assumptions!$C$94:$M$94,Assumptions!$C$98:$M$98))))</f>
        <v>-4200.104911</v>
      </c>
      <c r="CD26" s="54">
        <f t="array" ref="CD26">-(IF(CD$2=1,Assumptions!$H27/12,-(SUMIF($D$2:$EE$2,CD$2-1,$D26:$EE26)/12)*(1+XLOOKUP(CD$2,Assumptions!$C$94:$M$94,Assumptions!$C$98:$M$98))))</f>
        <v>-4200.104911</v>
      </c>
      <c r="CE26" s="54">
        <f t="array" ref="CE26">-(IF(CE$2=1,Assumptions!$H27/12,-(SUMIF($D$2:$EE$2,CE$2-1,$D26:$EE26)/12)*(1+XLOOKUP(CE$2,Assumptions!$C$94:$M$94,Assumptions!$C$98:$M$98))))</f>
        <v>-4200.104911</v>
      </c>
      <c r="CF26" s="54">
        <f t="array" ref="CF26">-(IF(CF$2=1,Assumptions!$H27/12,-(SUMIF($D$2:$EE$2,CF$2-1,$D26:$EE26)/12)*(1+XLOOKUP(CF$2,Assumptions!$C$94:$M$94,Assumptions!$C$98:$M$98))))</f>
        <v>-4200.104911</v>
      </c>
      <c r="CG26" s="54">
        <f t="array" ref="CG26">-(IF(CG$2=1,Assumptions!$H27/12,-(SUMIF($D$2:$EE$2,CG$2-1,$D26:$EE26)/12)*(1+XLOOKUP(CG$2,Assumptions!$C$94:$M$94,Assumptions!$C$98:$M$98))))</f>
        <v>-4200.104911</v>
      </c>
      <c r="CH26" s="54">
        <f t="array" ref="CH26">-(IF(CH$2=1,Assumptions!$H27/12,-(SUMIF($D$2:$EE$2,CH$2-1,$D26:$EE26)/12)*(1+XLOOKUP(CH$2,Assumptions!$C$94:$M$94,Assumptions!$C$98:$M$98))))</f>
        <v>-4200.104911</v>
      </c>
      <c r="CI26" s="54">
        <f t="array" ref="CI26">-(IF(CI$2=1,Assumptions!$H27/12,-(SUMIF($D$2:$EE$2,CI$2-1,$D26:$EE26)/12)*(1+XLOOKUP(CI$2,Assumptions!$C$94:$M$94,Assumptions!$C$98:$M$98))))</f>
        <v>-4200.104911</v>
      </c>
      <c r="CJ26" s="54">
        <f t="array" ref="CJ26">-(IF(CJ$2=1,Assumptions!$H27/12,-(SUMIF($D$2:$EE$2,CJ$2-1,$D26:$EE26)/12)*(1+XLOOKUP(CJ$2,Assumptions!$C$94:$M$94,Assumptions!$C$98:$M$98))))</f>
        <v>-4326.108058</v>
      </c>
      <c r="CK26" s="54">
        <f t="array" ref="CK26">-(IF(CK$2=1,Assumptions!$H27/12,-(SUMIF($D$2:$EE$2,CK$2-1,$D26:$EE26)/12)*(1+XLOOKUP(CK$2,Assumptions!$C$94:$M$94,Assumptions!$C$98:$M$98))))</f>
        <v>-4326.108058</v>
      </c>
      <c r="CL26" s="54">
        <f t="array" ref="CL26">-(IF(CL$2=1,Assumptions!$H27/12,-(SUMIF($D$2:$EE$2,CL$2-1,$D26:$EE26)/12)*(1+XLOOKUP(CL$2,Assumptions!$C$94:$M$94,Assumptions!$C$98:$M$98))))</f>
        <v>-4326.108058</v>
      </c>
      <c r="CM26" s="54">
        <f t="array" ref="CM26">-(IF(CM$2=1,Assumptions!$H27/12,-(SUMIF($D$2:$EE$2,CM$2-1,$D26:$EE26)/12)*(1+XLOOKUP(CM$2,Assumptions!$C$94:$M$94,Assumptions!$C$98:$M$98))))</f>
        <v>-4326.108058</v>
      </c>
      <c r="CN26" s="54">
        <f t="array" ref="CN26">-(IF(CN$2=1,Assumptions!$H27/12,-(SUMIF($D$2:$EE$2,CN$2-1,$D26:$EE26)/12)*(1+XLOOKUP(CN$2,Assumptions!$C$94:$M$94,Assumptions!$C$98:$M$98))))</f>
        <v>-4326.108058</v>
      </c>
      <c r="CO26" s="54">
        <f t="array" ref="CO26">-(IF(CO$2=1,Assumptions!$H27/12,-(SUMIF($D$2:$EE$2,CO$2-1,$D26:$EE26)/12)*(1+XLOOKUP(CO$2,Assumptions!$C$94:$M$94,Assumptions!$C$98:$M$98))))</f>
        <v>-4326.108058</v>
      </c>
      <c r="CP26" s="54">
        <f t="array" ref="CP26">-(IF(CP$2=1,Assumptions!$H27/12,-(SUMIF($D$2:$EE$2,CP$2-1,$D26:$EE26)/12)*(1+XLOOKUP(CP$2,Assumptions!$C$94:$M$94,Assumptions!$C$98:$M$98))))</f>
        <v>-4326.108058</v>
      </c>
      <c r="CQ26" s="54">
        <f t="array" ref="CQ26">-(IF(CQ$2=1,Assumptions!$H27/12,-(SUMIF($D$2:$EE$2,CQ$2-1,$D26:$EE26)/12)*(1+XLOOKUP(CQ$2,Assumptions!$C$94:$M$94,Assumptions!$C$98:$M$98))))</f>
        <v>-4326.108058</v>
      </c>
      <c r="CR26" s="54">
        <f t="array" ref="CR26">-(IF(CR$2=1,Assumptions!$H27/12,-(SUMIF($D$2:$EE$2,CR$2-1,$D26:$EE26)/12)*(1+XLOOKUP(CR$2,Assumptions!$C$94:$M$94,Assumptions!$C$98:$M$98))))</f>
        <v>-4326.108058</v>
      </c>
      <c r="CS26" s="54">
        <f t="array" ref="CS26">-(IF(CS$2=1,Assumptions!$H27/12,-(SUMIF($D$2:$EE$2,CS$2-1,$D26:$EE26)/12)*(1+XLOOKUP(CS$2,Assumptions!$C$94:$M$94,Assumptions!$C$98:$M$98))))</f>
        <v>-4326.108058</v>
      </c>
      <c r="CT26" s="54">
        <f t="array" ref="CT26">-(IF(CT$2=1,Assumptions!$H27/12,-(SUMIF($D$2:$EE$2,CT$2-1,$D26:$EE26)/12)*(1+XLOOKUP(CT$2,Assumptions!$C$94:$M$94,Assumptions!$C$98:$M$98))))</f>
        <v>-4326.108058</v>
      </c>
      <c r="CU26" s="54">
        <f t="array" ref="CU26">-(IF(CU$2=1,Assumptions!$H27/12,-(SUMIF($D$2:$EE$2,CU$2-1,$D26:$EE26)/12)*(1+XLOOKUP(CU$2,Assumptions!$C$94:$M$94,Assumptions!$C$98:$M$98))))</f>
        <v>-4326.108058</v>
      </c>
      <c r="CV26" s="54">
        <f t="array" ref="CV26">-(IF(CV$2=1,Assumptions!$H27/12,-(SUMIF($D$2:$EE$2,CV$2-1,$D26:$EE26)/12)*(1+XLOOKUP(CV$2,Assumptions!$C$94:$M$94,Assumptions!$C$98:$M$98))))</f>
        <v>-4455.8913</v>
      </c>
      <c r="CW26" s="54">
        <f t="array" ref="CW26">-(IF(CW$2=1,Assumptions!$H27/12,-(SUMIF($D$2:$EE$2,CW$2-1,$D26:$EE26)/12)*(1+XLOOKUP(CW$2,Assumptions!$C$94:$M$94,Assumptions!$C$98:$M$98))))</f>
        <v>-4455.8913</v>
      </c>
      <c r="CX26" s="54">
        <f t="array" ref="CX26">-(IF(CX$2=1,Assumptions!$H27/12,-(SUMIF($D$2:$EE$2,CX$2-1,$D26:$EE26)/12)*(1+XLOOKUP(CX$2,Assumptions!$C$94:$M$94,Assumptions!$C$98:$M$98))))</f>
        <v>-4455.8913</v>
      </c>
      <c r="CY26" s="54">
        <f t="array" ref="CY26">-(IF(CY$2=1,Assumptions!$H27/12,-(SUMIF($D$2:$EE$2,CY$2-1,$D26:$EE26)/12)*(1+XLOOKUP(CY$2,Assumptions!$C$94:$M$94,Assumptions!$C$98:$M$98))))</f>
        <v>-4455.8913</v>
      </c>
      <c r="CZ26" s="54">
        <f t="array" ref="CZ26">-(IF(CZ$2=1,Assumptions!$H27/12,-(SUMIF($D$2:$EE$2,CZ$2-1,$D26:$EE26)/12)*(1+XLOOKUP(CZ$2,Assumptions!$C$94:$M$94,Assumptions!$C$98:$M$98))))</f>
        <v>-4455.8913</v>
      </c>
      <c r="DA26" s="54">
        <f t="array" ref="DA26">-(IF(DA$2=1,Assumptions!$H27/12,-(SUMIF($D$2:$EE$2,DA$2-1,$D26:$EE26)/12)*(1+XLOOKUP(DA$2,Assumptions!$C$94:$M$94,Assumptions!$C$98:$M$98))))</f>
        <v>-4455.8913</v>
      </c>
      <c r="DB26" s="54">
        <f t="array" ref="DB26">-(IF(DB$2=1,Assumptions!$H27/12,-(SUMIF($D$2:$EE$2,DB$2-1,$D26:$EE26)/12)*(1+XLOOKUP(DB$2,Assumptions!$C$94:$M$94,Assumptions!$C$98:$M$98))))</f>
        <v>-4455.8913</v>
      </c>
      <c r="DC26" s="54">
        <f t="array" ref="DC26">-(IF(DC$2=1,Assumptions!$H27/12,-(SUMIF($D$2:$EE$2,DC$2-1,$D26:$EE26)/12)*(1+XLOOKUP(DC$2,Assumptions!$C$94:$M$94,Assumptions!$C$98:$M$98))))</f>
        <v>-4455.8913</v>
      </c>
      <c r="DD26" s="54">
        <f t="array" ref="DD26">-(IF(DD$2=1,Assumptions!$H27/12,-(SUMIF($D$2:$EE$2,DD$2-1,$D26:$EE26)/12)*(1+XLOOKUP(DD$2,Assumptions!$C$94:$M$94,Assumptions!$C$98:$M$98))))</f>
        <v>-4455.8913</v>
      </c>
      <c r="DE26" s="54">
        <f t="array" ref="DE26">-(IF(DE$2=1,Assumptions!$H27/12,-(SUMIF($D$2:$EE$2,DE$2-1,$D26:$EE26)/12)*(1+XLOOKUP(DE$2,Assumptions!$C$94:$M$94,Assumptions!$C$98:$M$98))))</f>
        <v>-4455.8913</v>
      </c>
      <c r="DF26" s="54">
        <f t="array" ref="DF26">-(IF(DF$2=1,Assumptions!$H27/12,-(SUMIF($D$2:$EE$2,DF$2-1,$D26:$EE26)/12)*(1+XLOOKUP(DF$2,Assumptions!$C$94:$M$94,Assumptions!$C$98:$M$98))))</f>
        <v>-4455.8913</v>
      </c>
      <c r="DG26" s="54">
        <f t="array" ref="DG26">-(IF(DG$2=1,Assumptions!$H27/12,-(SUMIF($D$2:$EE$2,DG$2-1,$D26:$EE26)/12)*(1+XLOOKUP(DG$2,Assumptions!$C$94:$M$94,Assumptions!$C$98:$M$98))))</f>
        <v>-4455.8913</v>
      </c>
      <c r="DH26" s="54">
        <f t="array" ref="DH26">-(IF(DH$2=1,Assumptions!$H27/12,-(SUMIF($D$2:$EE$2,DH$2-1,$D26:$EE26)/12)*(1+XLOOKUP(DH$2,Assumptions!$C$94:$M$94,Assumptions!$C$98:$M$98))))</f>
        <v>-4589.568039</v>
      </c>
      <c r="DI26" s="54">
        <f t="array" ref="DI26">-(IF(DI$2=1,Assumptions!$H27/12,-(SUMIF($D$2:$EE$2,DI$2-1,$D26:$EE26)/12)*(1+XLOOKUP(DI$2,Assumptions!$C$94:$M$94,Assumptions!$C$98:$M$98))))</f>
        <v>-4589.568039</v>
      </c>
      <c r="DJ26" s="54">
        <f t="array" ref="DJ26">-(IF(DJ$2=1,Assumptions!$H27/12,-(SUMIF($D$2:$EE$2,DJ$2-1,$D26:$EE26)/12)*(1+XLOOKUP(DJ$2,Assumptions!$C$94:$M$94,Assumptions!$C$98:$M$98))))</f>
        <v>-4589.568039</v>
      </c>
      <c r="DK26" s="54">
        <f t="array" ref="DK26">-(IF(DK$2=1,Assumptions!$H27/12,-(SUMIF($D$2:$EE$2,DK$2-1,$D26:$EE26)/12)*(1+XLOOKUP(DK$2,Assumptions!$C$94:$M$94,Assumptions!$C$98:$M$98))))</f>
        <v>-4589.568039</v>
      </c>
      <c r="DL26" s="54">
        <f t="array" ref="DL26">-(IF(DL$2=1,Assumptions!$H27/12,-(SUMIF($D$2:$EE$2,DL$2-1,$D26:$EE26)/12)*(1+XLOOKUP(DL$2,Assumptions!$C$94:$M$94,Assumptions!$C$98:$M$98))))</f>
        <v>-4589.568039</v>
      </c>
      <c r="DM26" s="54">
        <f t="array" ref="DM26">-(IF(DM$2=1,Assumptions!$H27/12,-(SUMIF($D$2:$EE$2,DM$2-1,$D26:$EE26)/12)*(1+XLOOKUP(DM$2,Assumptions!$C$94:$M$94,Assumptions!$C$98:$M$98))))</f>
        <v>-4589.568039</v>
      </c>
      <c r="DN26" s="54">
        <f t="array" ref="DN26">-(IF(DN$2=1,Assumptions!$H27/12,-(SUMIF($D$2:$EE$2,DN$2-1,$D26:$EE26)/12)*(1+XLOOKUP(DN$2,Assumptions!$C$94:$M$94,Assumptions!$C$98:$M$98))))</f>
        <v>-4589.568039</v>
      </c>
      <c r="DO26" s="54">
        <f t="array" ref="DO26">-(IF(DO$2=1,Assumptions!$H27/12,-(SUMIF($D$2:$EE$2,DO$2-1,$D26:$EE26)/12)*(1+XLOOKUP(DO$2,Assumptions!$C$94:$M$94,Assumptions!$C$98:$M$98))))</f>
        <v>-4589.568039</v>
      </c>
      <c r="DP26" s="54">
        <f t="array" ref="DP26">-(IF(DP$2=1,Assumptions!$H27/12,-(SUMIF($D$2:$EE$2,DP$2-1,$D26:$EE26)/12)*(1+XLOOKUP(DP$2,Assumptions!$C$94:$M$94,Assumptions!$C$98:$M$98))))</f>
        <v>-4589.568039</v>
      </c>
      <c r="DQ26" s="54">
        <f t="array" ref="DQ26">-(IF(DQ$2=1,Assumptions!$H27/12,-(SUMIF($D$2:$EE$2,DQ$2-1,$D26:$EE26)/12)*(1+XLOOKUP(DQ$2,Assumptions!$C$94:$M$94,Assumptions!$C$98:$M$98))))</f>
        <v>-4589.568039</v>
      </c>
      <c r="DR26" s="54">
        <f t="array" ref="DR26">-(IF(DR$2=1,Assumptions!$H27/12,-(SUMIF($D$2:$EE$2,DR$2-1,$D26:$EE26)/12)*(1+XLOOKUP(DR$2,Assumptions!$C$94:$M$94,Assumptions!$C$98:$M$98))))</f>
        <v>-4589.568039</v>
      </c>
      <c r="DS26" s="54">
        <f t="array" ref="DS26">-(IF(DS$2=1,Assumptions!$H27/12,-(SUMIF($D$2:$EE$2,DS$2-1,$D26:$EE26)/12)*(1+XLOOKUP(DS$2,Assumptions!$C$94:$M$94,Assumptions!$C$98:$M$98))))</f>
        <v>-4589.568039</v>
      </c>
      <c r="DT26" s="54">
        <f t="array" ref="DT26">-(IF(DT$2=1,Assumptions!$H27/12,-(SUMIF($D$2:$EE$2,DT$2-1,$D26:$EE26)/12)*(1+XLOOKUP(DT$2,Assumptions!$C$94:$M$94,Assumptions!$C$98:$M$98))))</f>
        <v>-4727.25508</v>
      </c>
      <c r="DU26" s="54">
        <f t="array" ref="DU26">-(IF(DU$2=1,Assumptions!$H27/12,-(SUMIF($D$2:$EE$2,DU$2-1,$D26:$EE26)/12)*(1+XLOOKUP(DU$2,Assumptions!$C$94:$M$94,Assumptions!$C$98:$M$98))))</f>
        <v>-4727.25508</v>
      </c>
      <c r="DV26" s="54">
        <f t="array" ref="DV26">-(IF(DV$2=1,Assumptions!$H27/12,-(SUMIF($D$2:$EE$2,DV$2-1,$D26:$EE26)/12)*(1+XLOOKUP(DV$2,Assumptions!$C$94:$M$94,Assumptions!$C$98:$M$98))))</f>
        <v>-4727.25508</v>
      </c>
      <c r="DW26" s="54">
        <f t="array" ref="DW26">-(IF(DW$2=1,Assumptions!$H27/12,-(SUMIF($D$2:$EE$2,DW$2-1,$D26:$EE26)/12)*(1+XLOOKUP(DW$2,Assumptions!$C$94:$M$94,Assumptions!$C$98:$M$98))))</f>
        <v>-4727.25508</v>
      </c>
      <c r="DX26" s="54">
        <f t="array" ref="DX26">-(IF(DX$2=1,Assumptions!$H27/12,-(SUMIF($D$2:$EE$2,DX$2-1,$D26:$EE26)/12)*(1+XLOOKUP(DX$2,Assumptions!$C$94:$M$94,Assumptions!$C$98:$M$98))))</f>
        <v>-4727.25508</v>
      </c>
      <c r="DY26" s="54">
        <f t="array" ref="DY26">-(IF(DY$2=1,Assumptions!$H27/12,-(SUMIF($D$2:$EE$2,DY$2-1,$D26:$EE26)/12)*(1+XLOOKUP(DY$2,Assumptions!$C$94:$M$94,Assumptions!$C$98:$M$98))))</f>
        <v>-4727.25508</v>
      </c>
      <c r="DZ26" s="54">
        <f t="array" ref="DZ26">-(IF(DZ$2=1,Assumptions!$H27/12,-(SUMIF($D$2:$EE$2,DZ$2-1,$D26:$EE26)/12)*(1+XLOOKUP(DZ$2,Assumptions!$C$94:$M$94,Assumptions!$C$98:$M$98))))</f>
        <v>-4727.25508</v>
      </c>
      <c r="EA26" s="54">
        <f t="array" ref="EA26">-(IF(EA$2=1,Assumptions!$H27/12,-(SUMIF($D$2:$EE$2,EA$2-1,$D26:$EE26)/12)*(1+XLOOKUP(EA$2,Assumptions!$C$94:$M$94,Assumptions!$C$98:$M$98))))</f>
        <v>-4727.25508</v>
      </c>
      <c r="EB26" s="54">
        <f t="array" ref="EB26">-(IF(EB$2=1,Assumptions!$H27/12,-(SUMIF($D$2:$EE$2,EB$2-1,$D26:$EE26)/12)*(1+XLOOKUP(EB$2,Assumptions!$C$94:$M$94,Assumptions!$C$98:$M$98))))</f>
        <v>-4727.25508</v>
      </c>
      <c r="EC26" s="54">
        <f t="array" ref="EC26">-(IF(EC$2=1,Assumptions!$H27/12,-(SUMIF($D$2:$EE$2,EC$2-1,$D26:$EE26)/12)*(1+XLOOKUP(EC$2,Assumptions!$C$94:$M$94,Assumptions!$C$98:$M$98))))</f>
        <v>-4727.25508</v>
      </c>
      <c r="ED26" s="54">
        <f t="array" ref="ED26">-(IF(ED$2=1,Assumptions!$H27/12,-(SUMIF($D$2:$EE$2,ED$2-1,$D26:$EE26)/12)*(1+XLOOKUP(ED$2,Assumptions!$C$94:$M$94,Assumptions!$C$98:$M$98))))</f>
        <v>-4727.25508</v>
      </c>
      <c r="EE26" s="54">
        <f t="array" ref="EE26">-(IF(EE$2=1,Assumptions!$H27/12,-(SUMIF($D$2:$EE$2,EE$2-1,$D26:$EE26)/12)*(1+XLOOKUP(EE$2,Assumptions!$C$94:$M$94,Assumptions!$C$98:$M$98))))</f>
        <v>-4727.25508</v>
      </c>
    </row>
    <row r="27" ht="15.75" customHeight="1">
      <c r="A27" s="1"/>
      <c r="B27" s="1"/>
      <c r="C27" s="1" t="str">
        <f>Assumptions!B28</f>
        <v>Other Utilities</v>
      </c>
      <c r="D27" s="54">
        <f t="array" ref="D27">-(IF(D$2=1,Assumptions!$H28/12,-(SUMIF($D$2:$EE$2,D$2-1,$D27:$EE27)/12)*(1+XLOOKUP(D$2,Assumptions!$C$94:$M$94,Assumptions!$C$98:$M$98))))</f>
        <v>-1905.083708</v>
      </c>
      <c r="E27" s="54">
        <f t="array" ref="E27">-(IF(E$2=1,Assumptions!$H28/12,-(SUMIF($D$2:$EE$2,E$2-1,$D27:$EE27)/12)*(1+XLOOKUP(E$2,Assumptions!$C$94:$M$94,Assumptions!$C$98:$M$98))))</f>
        <v>-1905.083708</v>
      </c>
      <c r="F27" s="54">
        <f t="array" ref="F27">-(IF(F$2=1,Assumptions!$H28/12,-(SUMIF($D$2:$EE$2,F$2-1,$D27:$EE27)/12)*(1+XLOOKUP(F$2,Assumptions!$C$94:$M$94,Assumptions!$C$98:$M$98))))</f>
        <v>-1905.083708</v>
      </c>
      <c r="G27" s="54">
        <f t="array" ref="G27">-(IF(G$2=1,Assumptions!$H28/12,-(SUMIF($D$2:$EE$2,G$2-1,$D27:$EE27)/12)*(1+XLOOKUP(G$2,Assumptions!$C$94:$M$94,Assumptions!$C$98:$M$98))))</f>
        <v>-1905.083708</v>
      </c>
      <c r="H27" s="54">
        <f t="array" ref="H27">-(IF(H$2=1,Assumptions!$H28/12,-(SUMIF($D$2:$EE$2,H$2-1,$D27:$EE27)/12)*(1+XLOOKUP(H$2,Assumptions!$C$94:$M$94,Assumptions!$C$98:$M$98))))</f>
        <v>-1905.083708</v>
      </c>
      <c r="I27" s="54">
        <f t="array" ref="I27">-(IF(I$2=1,Assumptions!$H28/12,-(SUMIF($D$2:$EE$2,I$2-1,$D27:$EE27)/12)*(1+XLOOKUP(I$2,Assumptions!$C$94:$M$94,Assumptions!$C$98:$M$98))))</f>
        <v>-1905.083708</v>
      </c>
      <c r="J27" s="54">
        <f t="array" ref="J27">-(IF(J$2=1,Assumptions!$H28/12,-(SUMIF($D$2:$EE$2,J$2-1,$D27:$EE27)/12)*(1+XLOOKUP(J$2,Assumptions!$C$94:$M$94,Assumptions!$C$98:$M$98))))</f>
        <v>-1905.083708</v>
      </c>
      <c r="K27" s="54">
        <f t="array" ref="K27">-(IF(K$2=1,Assumptions!$H28/12,-(SUMIF($D$2:$EE$2,K$2-1,$D27:$EE27)/12)*(1+XLOOKUP(K$2,Assumptions!$C$94:$M$94,Assumptions!$C$98:$M$98))))</f>
        <v>-1905.083708</v>
      </c>
      <c r="L27" s="54">
        <f t="array" ref="L27">-(IF(L$2=1,Assumptions!$H28/12,-(SUMIF($D$2:$EE$2,L$2-1,$D27:$EE27)/12)*(1+XLOOKUP(L$2,Assumptions!$C$94:$M$94,Assumptions!$C$98:$M$98))))</f>
        <v>-1905.083708</v>
      </c>
      <c r="M27" s="54">
        <f t="array" ref="M27">-(IF(M$2=1,Assumptions!$H28/12,-(SUMIF($D$2:$EE$2,M$2-1,$D27:$EE27)/12)*(1+XLOOKUP(M$2,Assumptions!$C$94:$M$94,Assumptions!$C$98:$M$98))))</f>
        <v>-1905.083708</v>
      </c>
      <c r="N27" s="54">
        <f t="array" ref="N27">-(IF(N$2=1,Assumptions!$H28/12,-(SUMIF($D$2:$EE$2,N$2-1,$D27:$EE27)/12)*(1+XLOOKUP(N$2,Assumptions!$C$94:$M$94,Assumptions!$C$98:$M$98))))</f>
        <v>-1905.083708</v>
      </c>
      <c r="O27" s="54">
        <f t="array" ref="O27">-(IF(O$2=1,Assumptions!$H28/12,-(SUMIF($D$2:$EE$2,O$2-1,$D27:$EE27)/12)*(1+XLOOKUP(O$2,Assumptions!$C$94:$M$94,Assumptions!$C$98:$M$98))))</f>
        <v>-1905.083708</v>
      </c>
      <c r="P27" s="54">
        <f t="array" ref="P27">-(IF(P$2=1,Assumptions!$H28/12,-(SUMIF($D$2:$EE$2,P$2-1,$D27:$EE27)/12)*(1+XLOOKUP(P$2,Assumptions!$C$94:$M$94,Assumptions!$C$98:$M$98))))</f>
        <v>-1962.23622</v>
      </c>
      <c r="Q27" s="54">
        <f t="array" ref="Q27">-(IF(Q$2=1,Assumptions!$H28/12,-(SUMIF($D$2:$EE$2,Q$2-1,$D27:$EE27)/12)*(1+XLOOKUP(Q$2,Assumptions!$C$94:$M$94,Assumptions!$C$98:$M$98))))</f>
        <v>-1962.23622</v>
      </c>
      <c r="R27" s="54">
        <f t="array" ref="R27">-(IF(R$2=1,Assumptions!$H28/12,-(SUMIF($D$2:$EE$2,R$2-1,$D27:$EE27)/12)*(1+XLOOKUP(R$2,Assumptions!$C$94:$M$94,Assumptions!$C$98:$M$98))))</f>
        <v>-1962.23622</v>
      </c>
      <c r="S27" s="54">
        <f t="array" ref="S27">-(IF(S$2=1,Assumptions!$H28/12,-(SUMIF($D$2:$EE$2,S$2-1,$D27:$EE27)/12)*(1+XLOOKUP(S$2,Assumptions!$C$94:$M$94,Assumptions!$C$98:$M$98))))</f>
        <v>-1962.23622</v>
      </c>
      <c r="T27" s="54">
        <f t="array" ref="T27">-(IF(T$2=1,Assumptions!$H28/12,-(SUMIF($D$2:$EE$2,T$2-1,$D27:$EE27)/12)*(1+XLOOKUP(T$2,Assumptions!$C$94:$M$94,Assumptions!$C$98:$M$98))))</f>
        <v>-1962.23622</v>
      </c>
      <c r="U27" s="54">
        <f t="array" ref="U27">-(IF(U$2=1,Assumptions!$H28/12,-(SUMIF($D$2:$EE$2,U$2-1,$D27:$EE27)/12)*(1+XLOOKUP(U$2,Assumptions!$C$94:$M$94,Assumptions!$C$98:$M$98))))</f>
        <v>-1962.23622</v>
      </c>
      <c r="V27" s="54">
        <f t="array" ref="V27">-(IF(V$2=1,Assumptions!$H28/12,-(SUMIF($D$2:$EE$2,V$2-1,$D27:$EE27)/12)*(1+XLOOKUP(V$2,Assumptions!$C$94:$M$94,Assumptions!$C$98:$M$98))))</f>
        <v>-1962.23622</v>
      </c>
      <c r="W27" s="54">
        <f t="array" ref="W27">-(IF(W$2=1,Assumptions!$H28/12,-(SUMIF($D$2:$EE$2,W$2-1,$D27:$EE27)/12)*(1+XLOOKUP(W$2,Assumptions!$C$94:$M$94,Assumptions!$C$98:$M$98))))</f>
        <v>-1962.23622</v>
      </c>
      <c r="X27" s="54">
        <f t="array" ref="X27">-(IF(X$2=1,Assumptions!$H28/12,-(SUMIF($D$2:$EE$2,X$2-1,$D27:$EE27)/12)*(1+XLOOKUP(X$2,Assumptions!$C$94:$M$94,Assumptions!$C$98:$M$98))))</f>
        <v>-1962.23622</v>
      </c>
      <c r="Y27" s="54">
        <f t="array" ref="Y27">-(IF(Y$2=1,Assumptions!$H28/12,-(SUMIF($D$2:$EE$2,Y$2-1,$D27:$EE27)/12)*(1+XLOOKUP(Y$2,Assumptions!$C$94:$M$94,Assumptions!$C$98:$M$98))))</f>
        <v>-1962.23622</v>
      </c>
      <c r="Z27" s="54">
        <f t="array" ref="Z27">-(IF(Z$2=1,Assumptions!$H28/12,-(SUMIF($D$2:$EE$2,Z$2-1,$D27:$EE27)/12)*(1+XLOOKUP(Z$2,Assumptions!$C$94:$M$94,Assumptions!$C$98:$M$98))))</f>
        <v>-1962.23622</v>
      </c>
      <c r="AA27" s="54">
        <f t="array" ref="AA27">-(IF(AA$2=1,Assumptions!$H28/12,-(SUMIF($D$2:$EE$2,AA$2-1,$D27:$EE27)/12)*(1+XLOOKUP(AA$2,Assumptions!$C$94:$M$94,Assumptions!$C$98:$M$98))))</f>
        <v>-1962.23622</v>
      </c>
      <c r="AB27" s="54">
        <f t="array" ref="AB27">-(IF(AB$2=1,Assumptions!$H28/12,-(SUMIF($D$2:$EE$2,AB$2-1,$D27:$EE27)/12)*(1+XLOOKUP(AB$2,Assumptions!$C$94:$M$94,Assumptions!$C$98:$M$98))))</f>
        <v>-2021.103306</v>
      </c>
      <c r="AC27" s="54">
        <f t="array" ref="AC27">-(IF(AC$2=1,Assumptions!$H28/12,-(SUMIF($D$2:$EE$2,AC$2-1,$D27:$EE27)/12)*(1+XLOOKUP(AC$2,Assumptions!$C$94:$M$94,Assumptions!$C$98:$M$98))))</f>
        <v>-2021.103306</v>
      </c>
      <c r="AD27" s="54">
        <f t="array" ref="AD27">-(IF(AD$2=1,Assumptions!$H28/12,-(SUMIF($D$2:$EE$2,AD$2-1,$D27:$EE27)/12)*(1+XLOOKUP(AD$2,Assumptions!$C$94:$M$94,Assumptions!$C$98:$M$98))))</f>
        <v>-2021.103306</v>
      </c>
      <c r="AE27" s="54">
        <f t="array" ref="AE27">-(IF(AE$2=1,Assumptions!$H28/12,-(SUMIF($D$2:$EE$2,AE$2-1,$D27:$EE27)/12)*(1+XLOOKUP(AE$2,Assumptions!$C$94:$M$94,Assumptions!$C$98:$M$98))))</f>
        <v>-2021.103306</v>
      </c>
      <c r="AF27" s="54">
        <f t="array" ref="AF27">-(IF(AF$2=1,Assumptions!$H28/12,-(SUMIF($D$2:$EE$2,AF$2-1,$D27:$EE27)/12)*(1+XLOOKUP(AF$2,Assumptions!$C$94:$M$94,Assumptions!$C$98:$M$98))))</f>
        <v>-2021.103306</v>
      </c>
      <c r="AG27" s="54">
        <f t="array" ref="AG27">-(IF(AG$2=1,Assumptions!$H28/12,-(SUMIF($D$2:$EE$2,AG$2-1,$D27:$EE27)/12)*(1+XLOOKUP(AG$2,Assumptions!$C$94:$M$94,Assumptions!$C$98:$M$98))))</f>
        <v>-2021.103306</v>
      </c>
      <c r="AH27" s="54">
        <f t="array" ref="AH27">-(IF(AH$2=1,Assumptions!$H28/12,-(SUMIF($D$2:$EE$2,AH$2-1,$D27:$EE27)/12)*(1+XLOOKUP(AH$2,Assumptions!$C$94:$M$94,Assumptions!$C$98:$M$98))))</f>
        <v>-2021.103306</v>
      </c>
      <c r="AI27" s="54">
        <f t="array" ref="AI27">-(IF(AI$2=1,Assumptions!$H28/12,-(SUMIF($D$2:$EE$2,AI$2-1,$D27:$EE27)/12)*(1+XLOOKUP(AI$2,Assumptions!$C$94:$M$94,Assumptions!$C$98:$M$98))))</f>
        <v>-2021.103306</v>
      </c>
      <c r="AJ27" s="54">
        <f t="array" ref="AJ27">-(IF(AJ$2=1,Assumptions!$H28/12,-(SUMIF($D$2:$EE$2,AJ$2-1,$D27:$EE27)/12)*(1+XLOOKUP(AJ$2,Assumptions!$C$94:$M$94,Assumptions!$C$98:$M$98))))</f>
        <v>-2021.103306</v>
      </c>
      <c r="AK27" s="54">
        <f t="array" ref="AK27">-(IF(AK$2=1,Assumptions!$H28/12,-(SUMIF($D$2:$EE$2,AK$2-1,$D27:$EE27)/12)*(1+XLOOKUP(AK$2,Assumptions!$C$94:$M$94,Assumptions!$C$98:$M$98))))</f>
        <v>-2021.103306</v>
      </c>
      <c r="AL27" s="54">
        <f t="array" ref="AL27">-(IF(AL$2=1,Assumptions!$H28/12,-(SUMIF($D$2:$EE$2,AL$2-1,$D27:$EE27)/12)*(1+XLOOKUP(AL$2,Assumptions!$C$94:$M$94,Assumptions!$C$98:$M$98))))</f>
        <v>-2021.103306</v>
      </c>
      <c r="AM27" s="54">
        <f t="array" ref="AM27">-(IF(AM$2=1,Assumptions!$H28/12,-(SUMIF($D$2:$EE$2,AM$2-1,$D27:$EE27)/12)*(1+XLOOKUP(AM$2,Assumptions!$C$94:$M$94,Assumptions!$C$98:$M$98))))</f>
        <v>-2021.103306</v>
      </c>
      <c r="AN27" s="54">
        <f t="array" ref="AN27">-(IF(AN$2=1,Assumptions!$H28/12,-(SUMIF($D$2:$EE$2,AN$2-1,$D27:$EE27)/12)*(1+XLOOKUP(AN$2,Assumptions!$C$94:$M$94,Assumptions!$C$98:$M$98))))</f>
        <v>-2081.736405</v>
      </c>
      <c r="AO27" s="54">
        <f t="array" ref="AO27">-(IF(AO$2=1,Assumptions!$H28/12,-(SUMIF($D$2:$EE$2,AO$2-1,$D27:$EE27)/12)*(1+XLOOKUP(AO$2,Assumptions!$C$94:$M$94,Assumptions!$C$98:$M$98))))</f>
        <v>-2081.736405</v>
      </c>
      <c r="AP27" s="54">
        <f t="array" ref="AP27">-(IF(AP$2=1,Assumptions!$H28/12,-(SUMIF($D$2:$EE$2,AP$2-1,$D27:$EE27)/12)*(1+XLOOKUP(AP$2,Assumptions!$C$94:$M$94,Assumptions!$C$98:$M$98))))</f>
        <v>-2081.736405</v>
      </c>
      <c r="AQ27" s="54">
        <f t="array" ref="AQ27">-(IF(AQ$2=1,Assumptions!$H28/12,-(SUMIF($D$2:$EE$2,AQ$2-1,$D27:$EE27)/12)*(1+XLOOKUP(AQ$2,Assumptions!$C$94:$M$94,Assumptions!$C$98:$M$98))))</f>
        <v>-2081.736405</v>
      </c>
      <c r="AR27" s="54">
        <f t="array" ref="AR27">-(IF(AR$2=1,Assumptions!$H28/12,-(SUMIF($D$2:$EE$2,AR$2-1,$D27:$EE27)/12)*(1+XLOOKUP(AR$2,Assumptions!$C$94:$M$94,Assumptions!$C$98:$M$98))))</f>
        <v>-2081.736405</v>
      </c>
      <c r="AS27" s="54">
        <f t="array" ref="AS27">-(IF(AS$2=1,Assumptions!$H28/12,-(SUMIF($D$2:$EE$2,AS$2-1,$D27:$EE27)/12)*(1+XLOOKUP(AS$2,Assumptions!$C$94:$M$94,Assumptions!$C$98:$M$98))))</f>
        <v>-2081.736405</v>
      </c>
      <c r="AT27" s="54">
        <f t="array" ref="AT27">-(IF(AT$2=1,Assumptions!$H28/12,-(SUMIF($D$2:$EE$2,AT$2-1,$D27:$EE27)/12)*(1+XLOOKUP(AT$2,Assumptions!$C$94:$M$94,Assumptions!$C$98:$M$98))))</f>
        <v>-2081.736405</v>
      </c>
      <c r="AU27" s="54">
        <f t="array" ref="AU27">-(IF(AU$2=1,Assumptions!$H28/12,-(SUMIF($D$2:$EE$2,AU$2-1,$D27:$EE27)/12)*(1+XLOOKUP(AU$2,Assumptions!$C$94:$M$94,Assumptions!$C$98:$M$98))))</f>
        <v>-2081.736405</v>
      </c>
      <c r="AV27" s="54">
        <f t="array" ref="AV27">-(IF(AV$2=1,Assumptions!$H28/12,-(SUMIF($D$2:$EE$2,AV$2-1,$D27:$EE27)/12)*(1+XLOOKUP(AV$2,Assumptions!$C$94:$M$94,Assumptions!$C$98:$M$98))))</f>
        <v>-2081.736405</v>
      </c>
      <c r="AW27" s="54">
        <f t="array" ref="AW27">-(IF(AW$2=1,Assumptions!$H28/12,-(SUMIF($D$2:$EE$2,AW$2-1,$D27:$EE27)/12)*(1+XLOOKUP(AW$2,Assumptions!$C$94:$M$94,Assumptions!$C$98:$M$98))))</f>
        <v>-2081.736405</v>
      </c>
      <c r="AX27" s="54">
        <f t="array" ref="AX27">-(IF(AX$2=1,Assumptions!$H28/12,-(SUMIF($D$2:$EE$2,AX$2-1,$D27:$EE27)/12)*(1+XLOOKUP(AX$2,Assumptions!$C$94:$M$94,Assumptions!$C$98:$M$98))))</f>
        <v>-2081.736405</v>
      </c>
      <c r="AY27" s="54">
        <f t="array" ref="AY27">-(IF(AY$2=1,Assumptions!$H28/12,-(SUMIF($D$2:$EE$2,AY$2-1,$D27:$EE27)/12)*(1+XLOOKUP(AY$2,Assumptions!$C$94:$M$94,Assumptions!$C$98:$M$98))))</f>
        <v>-2081.736405</v>
      </c>
      <c r="AZ27" s="54">
        <f t="array" ref="AZ27">-(IF(AZ$2=1,Assumptions!$H28/12,-(SUMIF($D$2:$EE$2,AZ$2-1,$D27:$EE27)/12)*(1+XLOOKUP(AZ$2,Assumptions!$C$94:$M$94,Assumptions!$C$98:$M$98))))</f>
        <v>-2144.188498</v>
      </c>
      <c r="BA27" s="54">
        <f t="array" ref="BA27">-(IF(BA$2=1,Assumptions!$H28/12,-(SUMIF($D$2:$EE$2,BA$2-1,$D27:$EE27)/12)*(1+XLOOKUP(BA$2,Assumptions!$C$94:$M$94,Assumptions!$C$98:$M$98))))</f>
        <v>-2144.188498</v>
      </c>
      <c r="BB27" s="54">
        <f t="array" ref="BB27">-(IF(BB$2=1,Assumptions!$H28/12,-(SUMIF($D$2:$EE$2,BB$2-1,$D27:$EE27)/12)*(1+XLOOKUP(BB$2,Assumptions!$C$94:$M$94,Assumptions!$C$98:$M$98))))</f>
        <v>-2144.188498</v>
      </c>
      <c r="BC27" s="54">
        <f t="array" ref="BC27">-(IF(BC$2=1,Assumptions!$H28/12,-(SUMIF($D$2:$EE$2,BC$2-1,$D27:$EE27)/12)*(1+XLOOKUP(BC$2,Assumptions!$C$94:$M$94,Assumptions!$C$98:$M$98))))</f>
        <v>-2144.188498</v>
      </c>
      <c r="BD27" s="54">
        <f t="array" ref="BD27">-(IF(BD$2=1,Assumptions!$H28/12,-(SUMIF($D$2:$EE$2,BD$2-1,$D27:$EE27)/12)*(1+XLOOKUP(BD$2,Assumptions!$C$94:$M$94,Assumptions!$C$98:$M$98))))</f>
        <v>-2144.188498</v>
      </c>
      <c r="BE27" s="54">
        <f t="array" ref="BE27">-(IF(BE$2=1,Assumptions!$H28/12,-(SUMIF($D$2:$EE$2,BE$2-1,$D27:$EE27)/12)*(1+XLOOKUP(BE$2,Assumptions!$C$94:$M$94,Assumptions!$C$98:$M$98))))</f>
        <v>-2144.188498</v>
      </c>
      <c r="BF27" s="54">
        <f t="array" ref="BF27">-(IF(BF$2=1,Assumptions!$H28/12,-(SUMIF($D$2:$EE$2,BF$2-1,$D27:$EE27)/12)*(1+XLOOKUP(BF$2,Assumptions!$C$94:$M$94,Assumptions!$C$98:$M$98))))</f>
        <v>-2144.188498</v>
      </c>
      <c r="BG27" s="54">
        <f t="array" ref="BG27">-(IF(BG$2=1,Assumptions!$H28/12,-(SUMIF($D$2:$EE$2,BG$2-1,$D27:$EE27)/12)*(1+XLOOKUP(BG$2,Assumptions!$C$94:$M$94,Assumptions!$C$98:$M$98))))</f>
        <v>-2144.188498</v>
      </c>
      <c r="BH27" s="54">
        <f t="array" ref="BH27">-(IF(BH$2=1,Assumptions!$H28/12,-(SUMIF($D$2:$EE$2,BH$2-1,$D27:$EE27)/12)*(1+XLOOKUP(BH$2,Assumptions!$C$94:$M$94,Assumptions!$C$98:$M$98))))</f>
        <v>-2144.188498</v>
      </c>
      <c r="BI27" s="54">
        <f t="array" ref="BI27">-(IF(BI$2=1,Assumptions!$H28/12,-(SUMIF($D$2:$EE$2,BI$2-1,$D27:$EE27)/12)*(1+XLOOKUP(BI$2,Assumptions!$C$94:$M$94,Assumptions!$C$98:$M$98))))</f>
        <v>-2144.188498</v>
      </c>
      <c r="BJ27" s="54">
        <f t="array" ref="BJ27">-(IF(BJ$2=1,Assumptions!$H28/12,-(SUMIF($D$2:$EE$2,BJ$2-1,$D27:$EE27)/12)*(1+XLOOKUP(BJ$2,Assumptions!$C$94:$M$94,Assumptions!$C$98:$M$98))))</f>
        <v>-2144.188498</v>
      </c>
      <c r="BK27" s="54">
        <f t="array" ref="BK27">-(IF(BK$2=1,Assumptions!$H28/12,-(SUMIF($D$2:$EE$2,BK$2-1,$D27:$EE27)/12)*(1+XLOOKUP(BK$2,Assumptions!$C$94:$M$94,Assumptions!$C$98:$M$98))))</f>
        <v>-2144.188498</v>
      </c>
      <c r="BL27" s="54">
        <f t="array" ref="BL27">-(IF(BL$2=1,Assumptions!$H28/12,-(SUMIF($D$2:$EE$2,BL$2-1,$D27:$EE27)/12)*(1+XLOOKUP(BL$2,Assumptions!$C$94:$M$94,Assumptions!$C$98:$M$98))))</f>
        <v>-2208.514152</v>
      </c>
      <c r="BM27" s="54">
        <f t="array" ref="BM27">-(IF(BM$2=1,Assumptions!$H28/12,-(SUMIF($D$2:$EE$2,BM$2-1,$D27:$EE27)/12)*(1+XLOOKUP(BM$2,Assumptions!$C$94:$M$94,Assumptions!$C$98:$M$98))))</f>
        <v>-2208.514152</v>
      </c>
      <c r="BN27" s="54">
        <f t="array" ref="BN27">-(IF(BN$2=1,Assumptions!$H28/12,-(SUMIF($D$2:$EE$2,BN$2-1,$D27:$EE27)/12)*(1+XLOOKUP(BN$2,Assumptions!$C$94:$M$94,Assumptions!$C$98:$M$98))))</f>
        <v>-2208.514152</v>
      </c>
      <c r="BO27" s="54">
        <f t="array" ref="BO27">-(IF(BO$2=1,Assumptions!$H28/12,-(SUMIF($D$2:$EE$2,BO$2-1,$D27:$EE27)/12)*(1+XLOOKUP(BO$2,Assumptions!$C$94:$M$94,Assumptions!$C$98:$M$98))))</f>
        <v>-2208.514152</v>
      </c>
      <c r="BP27" s="54">
        <f t="array" ref="BP27">-(IF(BP$2=1,Assumptions!$H28/12,-(SUMIF($D$2:$EE$2,BP$2-1,$D27:$EE27)/12)*(1+XLOOKUP(BP$2,Assumptions!$C$94:$M$94,Assumptions!$C$98:$M$98))))</f>
        <v>-2208.514152</v>
      </c>
      <c r="BQ27" s="54">
        <f t="array" ref="BQ27">-(IF(BQ$2=1,Assumptions!$H28/12,-(SUMIF($D$2:$EE$2,BQ$2-1,$D27:$EE27)/12)*(1+XLOOKUP(BQ$2,Assumptions!$C$94:$M$94,Assumptions!$C$98:$M$98))))</f>
        <v>-2208.514152</v>
      </c>
      <c r="BR27" s="54">
        <f t="array" ref="BR27">-(IF(BR$2=1,Assumptions!$H28/12,-(SUMIF($D$2:$EE$2,BR$2-1,$D27:$EE27)/12)*(1+XLOOKUP(BR$2,Assumptions!$C$94:$M$94,Assumptions!$C$98:$M$98))))</f>
        <v>-2208.514152</v>
      </c>
      <c r="BS27" s="54">
        <f t="array" ref="BS27">-(IF(BS$2=1,Assumptions!$H28/12,-(SUMIF($D$2:$EE$2,BS$2-1,$D27:$EE27)/12)*(1+XLOOKUP(BS$2,Assumptions!$C$94:$M$94,Assumptions!$C$98:$M$98))))</f>
        <v>-2208.514152</v>
      </c>
      <c r="BT27" s="54">
        <f t="array" ref="BT27">-(IF(BT$2=1,Assumptions!$H28/12,-(SUMIF($D$2:$EE$2,BT$2-1,$D27:$EE27)/12)*(1+XLOOKUP(BT$2,Assumptions!$C$94:$M$94,Assumptions!$C$98:$M$98))))</f>
        <v>-2208.514152</v>
      </c>
      <c r="BU27" s="54">
        <f t="array" ref="BU27">-(IF(BU$2=1,Assumptions!$H28/12,-(SUMIF($D$2:$EE$2,BU$2-1,$D27:$EE27)/12)*(1+XLOOKUP(BU$2,Assumptions!$C$94:$M$94,Assumptions!$C$98:$M$98))))</f>
        <v>-2208.514152</v>
      </c>
      <c r="BV27" s="54">
        <f t="array" ref="BV27">-(IF(BV$2=1,Assumptions!$H28/12,-(SUMIF($D$2:$EE$2,BV$2-1,$D27:$EE27)/12)*(1+XLOOKUP(BV$2,Assumptions!$C$94:$M$94,Assumptions!$C$98:$M$98))))</f>
        <v>-2208.514152</v>
      </c>
      <c r="BW27" s="54">
        <f t="array" ref="BW27">-(IF(BW$2=1,Assumptions!$H28/12,-(SUMIF($D$2:$EE$2,BW$2-1,$D27:$EE27)/12)*(1+XLOOKUP(BW$2,Assumptions!$C$94:$M$94,Assumptions!$C$98:$M$98))))</f>
        <v>-2208.514152</v>
      </c>
      <c r="BX27" s="54">
        <f t="array" ref="BX27">-(IF(BX$2=1,Assumptions!$H28/12,-(SUMIF($D$2:$EE$2,BX$2-1,$D27:$EE27)/12)*(1+XLOOKUP(BX$2,Assumptions!$C$94:$M$94,Assumptions!$C$98:$M$98))))</f>
        <v>-2274.769577</v>
      </c>
      <c r="BY27" s="54">
        <f t="array" ref="BY27">-(IF(BY$2=1,Assumptions!$H28/12,-(SUMIF($D$2:$EE$2,BY$2-1,$D27:$EE27)/12)*(1+XLOOKUP(BY$2,Assumptions!$C$94:$M$94,Assumptions!$C$98:$M$98))))</f>
        <v>-2274.769577</v>
      </c>
      <c r="BZ27" s="54">
        <f t="array" ref="BZ27">-(IF(BZ$2=1,Assumptions!$H28/12,-(SUMIF($D$2:$EE$2,BZ$2-1,$D27:$EE27)/12)*(1+XLOOKUP(BZ$2,Assumptions!$C$94:$M$94,Assumptions!$C$98:$M$98))))</f>
        <v>-2274.769577</v>
      </c>
      <c r="CA27" s="54">
        <f t="array" ref="CA27">-(IF(CA$2=1,Assumptions!$H28/12,-(SUMIF($D$2:$EE$2,CA$2-1,$D27:$EE27)/12)*(1+XLOOKUP(CA$2,Assumptions!$C$94:$M$94,Assumptions!$C$98:$M$98))))</f>
        <v>-2274.769577</v>
      </c>
      <c r="CB27" s="54">
        <f t="array" ref="CB27">-(IF(CB$2=1,Assumptions!$H28/12,-(SUMIF($D$2:$EE$2,CB$2-1,$D27:$EE27)/12)*(1+XLOOKUP(CB$2,Assumptions!$C$94:$M$94,Assumptions!$C$98:$M$98))))</f>
        <v>-2274.769577</v>
      </c>
      <c r="CC27" s="54">
        <f t="array" ref="CC27">-(IF(CC$2=1,Assumptions!$H28/12,-(SUMIF($D$2:$EE$2,CC$2-1,$D27:$EE27)/12)*(1+XLOOKUP(CC$2,Assumptions!$C$94:$M$94,Assumptions!$C$98:$M$98))))</f>
        <v>-2274.769577</v>
      </c>
      <c r="CD27" s="54">
        <f t="array" ref="CD27">-(IF(CD$2=1,Assumptions!$H28/12,-(SUMIF($D$2:$EE$2,CD$2-1,$D27:$EE27)/12)*(1+XLOOKUP(CD$2,Assumptions!$C$94:$M$94,Assumptions!$C$98:$M$98))))</f>
        <v>-2274.769577</v>
      </c>
      <c r="CE27" s="54">
        <f t="array" ref="CE27">-(IF(CE$2=1,Assumptions!$H28/12,-(SUMIF($D$2:$EE$2,CE$2-1,$D27:$EE27)/12)*(1+XLOOKUP(CE$2,Assumptions!$C$94:$M$94,Assumptions!$C$98:$M$98))))</f>
        <v>-2274.769577</v>
      </c>
      <c r="CF27" s="54">
        <f t="array" ref="CF27">-(IF(CF$2=1,Assumptions!$H28/12,-(SUMIF($D$2:$EE$2,CF$2-1,$D27:$EE27)/12)*(1+XLOOKUP(CF$2,Assumptions!$C$94:$M$94,Assumptions!$C$98:$M$98))))</f>
        <v>-2274.769577</v>
      </c>
      <c r="CG27" s="54">
        <f t="array" ref="CG27">-(IF(CG$2=1,Assumptions!$H28/12,-(SUMIF($D$2:$EE$2,CG$2-1,$D27:$EE27)/12)*(1+XLOOKUP(CG$2,Assumptions!$C$94:$M$94,Assumptions!$C$98:$M$98))))</f>
        <v>-2274.769577</v>
      </c>
      <c r="CH27" s="54">
        <f t="array" ref="CH27">-(IF(CH$2=1,Assumptions!$H28/12,-(SUMIF($D$2:$EE$2,CH$2-1,$D27:$EE27)/12)*(1+XLOOKUP(CH$2,Assumptions!$C$94:$M$94,Assumptions!$C$98:$M$98))))</f>
        <v>-2274.769577</v>
      </c>
      <c r="CI27" s="54">
        <f t="array" ref="CI27">-(IF(CI$2=1,Assumptions!$H28/12,-(SUMIF($D$2:$EE$2,CI$2-1,$D27:$EE27)/12)*(1+XLOOKUP(CI$2,Assumptions!$C$94:$M$94,Assumptions!$C$98:$M$98))))</f>
        <v>-2274.769577</v>
      </c>
      <c r="CJ27" s="54">
        <f t="array" ref="CJ27">-(IF(CJ$2=1,Assumptions!$H28/12,-(SUMIF($D$2:$EE$2,CJ$2-1,$D27:$EE27)/12)*(1+XLOOKUP(CJ$2,Assumptions!$C$94:$M$94,Assumptions!$C$98:$M$98))))</f>
        <v>-2343.012664</v>
      </c>
      <c r="CK27" s="54">
        <f t="array" ref="CK27">-(IF(CK$2=1,Assumptions!$H28/12,-(SUMIF($D$2:$EE$2,CK$2-1,$D27:$EE27)/12)*(1+XLOOKUP(CK$2,Assumptions!$C$94:$M$94,Assumptions!$C$98:$M$98))))</f>
        <v>-2343.012664</v>
      </c>
      <c r="CL27" s="54">
        <f t="array" ref="CL27">-(IF(CL$2=1,Assumptions!$H28/12,-(SUMIF($D$2:$EE$2,CL$2-1,$D27:$EE27)/12)*(1+XLOOKUP(CL$2,Assumptions!$C$94:$M$94,Assumptions!$C$98:$M$98))))</f>
        <v>-2343.012664</v>
      </c>
      <c r="CM27" s="54">
        <f t="array" ref="CM27">-(IF(CM$2=1,Assumptions!$H28/12,-(SUMIF($D$2:$EE$2,CM$2-1,$D27:$EE27)/12)*(1+XLOOKUP(CM$2,Assumptions!$C$94:$M$94,Assumptions!$C$98:$M$98))))</f>
        <v>-2343.012664</v>
      </c>
      <c r="CN27" s="54">
        <f t="array" ref="CN27">-(IF(CN$2=1,Assumptions!$H28/12,-(SUMIF($D$2:$EE$2,CN$2-1,$D27:$EE27)/12)*(1+XLOOKUP(CN$2,Assumptions!$C$94:$M$94,Assumptions!$C$98:$M$98))))</f>
        <v>-2343.012664</v>
      </c>
      <c r="CO27" s="54">
        <f t="array" ref="CO27">-(IF(CO$2=1,Assumptions!$H28/12,-(SUMIF($D$2:$EE$2,CO$2-1,$D27:$EE27)/12)*(1+XLOOKUP(CO$2,Assumptions!$C$94:$M$94,Assumptions!$C$98:$M$98))))</f>
        <v>-2343.012664</v>
      </c>
      <c r="CP27" s="54">
        <f t="array" ref="CP27">-(IF(CP$2=1,Assumptions!$H28/12,-(SUMIF($D$2:$EE$2,CP$2-1,$D27:$EE27)/12)*(1+XLOOKUP(CP$2,Assumptions!$C$94:$M$94,Assumptions!$C$98:$M$98))))</f>
        <v>-2343.012664</v>
      </c>
      <c r="CQ27" s="54">
        <f t="array" ref="CQ27">-(IF(CQ$2=1,Assumptions!$H28/12,-(SUMIF($D$2:$EE$2,CQ$2-1,$D27:$EE27)/12)*(1+XLOOKUP(CQ$2,Assumptions!$C$94:$M$94,Assumptions!$C$98:$M$98))))</f>
        <v>-2343.012664</v>
      </c>
      <c r="CR27" s="54">
        <f t="array" ref="CR27">-(IF(CR$2=1,Assumptions!$H28/12,-(SUMIF($D$2:$EE$2,CR$2-1,$D27:$EE27)/12)*(1+XLOOKUP(CR$2,Assumptions!$C$94:$M$94,Assumptions!$C$98:$M$98))))</f>
        <v>-2343.012664</v>
      </c>
      <c r="CS27" s="54">
        <f t="array" ref="CS27">-(IF(CS$2=1,Assumptions!$H28/12,-(SUMIF($D$2:$EE$2,CS$2-1,$D27:$EE27)/12)*(1+XLOOKUP(CS$2,Assumptions!$C$94:$M$94,Assumptions!$C$98:$M$98))))</f>
        <v>-2343.012664</v>
      </c>
      <c r="CT27" s="54">
        <f t="array" ref="CT27">-(IF(CT$2=1,Assumptions!$H28/12,-(SUMIF($D$2:$EE$2,CT$2-1,$D27:$EE27)/12)*(1+XLOOKUP(CT$2,Assumptions!$C$94:$M$94,Assumptions!$C$98:$M$98))))</f>
        <v>-2343.012664</v>
      </c>
      <c r="CU27" s="54">
        <f t="array" ref="CU27">-(IF(CU$2=1,Assumptions!$H28/12,-(SUMIF($D$2:$EE$2,CU$2-1,$D27:$EE27)/12)*(1+XLOOKUP(CU$2,Assumptions!$C$94:$M$94,Assumptions!$C$98:$M$98))))</f>
        <v>-2343.012664</v>
      </c>
      <c r="CV27" s="54">
        <f t="array" ref="CV27">-(IF(CV$2=1,Assumptions!$H28/12,-(SUMIF($D$2:$EE$2,CV$2-1,$D27:$EE27)/12)*(1+XLOOKUP(CV$2,Assumptions!$C$94:$M$94,Assumptions!$C$98:$M$98))))</f>
        <v>-2413.303044</v>
      </c>
      <c r="CW27" s="54">
        <f t="array" ref="CW27">-(IF(CW$2=1,Assumptions!$H28/12,-(SUMIF($D$2:$EE$2,CW$2-1,$D27:$EE27)/12)*(1+XLOOKUP(CW$2,Assumptions!$C$94:$M$94,Assumptions!$C$98:$M$98))))</f>
        <v>-2413.303044</v>
      </c>
      <c r="CX27" s="54">
        <f t="array" ref="CX27">-(IF(CX$2=1,Assumptions!$H28/12,-(SUMIF($D$2:$EE$2,CX$2-1,$D27:$EE27)/12)*(1+XLOOKUP(CX$2,Assumptions!$C$94:$M$94,Assumptions!$C$98:$M$98))))</f>
        <v>-2413.303044</v>
      </c>
      <c r="CY27" s="54">
        <f t="array" ref="CY27">-(IF(CY$2=1,Assumptions!$H28/12,-(SUMIF($D$2:$EE$2,CY$2-1,$D27:$EE27)/12)*(1+XLOOKUP(CY$2,Assumptions!$C$94:$M$94,Assumptions!$C$98:$M$98))))</f>
        <v>-2413.303044</v>
      </c>
      <c r="CZ27" s="54">
        <f t="array" ref="CZ27">-(IF(CZ$2=1,Assumptions!$H28/12,-(SUMIF($D$2:$EE$2,CZ$2-1,$D27:$EE27)/12)*(1+XLOOKUP(CZ$2,Assumptions!$C$94:$M$94,Assumptions!$C$98:$M$98))))</f>
        <v>-2413.303044</v>
      </c>
      <c r="DA27" s="54">
        <f t="array" ref="DA27">-(IF(DA$2=1,Assumptions!$H28/12,-(SUMIF($D$2:$EE$2,DA$2-1,$D27:$EE27)/12)*(1+XLOOKUP(DA$2,Assumptions!$C$94:$M$94,Assumptions!$C$98:$M$98))))</f>
        <v>-2413.303044</v>
      </c>
      <c r="DB27" s="54">
        <f t="array" ref="DB27">-(IF(DB$2=1,Assumptions!$H28/12,-(SUMIF($D$2:$EE$2,DB$2-1,$D27:$EE27)/12)*(1+XLOOKUP(DB$2,Assumptions!$C$94:$M$94,Assumptions!$C$98:$M$98))))</f>
        <v>-2413.303044</v>
      </c>
      <c r="DC27" s="54">
        <f t="array" ref="DC27">-(IF(DC$2=1,Assumptions!$H28/12,-(SUMIF($D$2:$EE$2,DC$2-1,$D27:$EE27)/12)*(1+XLOOKUP(DC$2,Assumptions!$C$94:$M$94,Assumptions!$C$98:$M$98))))</f>
        <v>-2413.303044</v>
      </c>
      <c r="DD27" s="54">
        <f t="array" ref="DD27">-(IF(DD$2=1,Assumptions!$H28/12,-(SUMIF($D$2:$EE$2,DD$2-1,$D27:$EE27)/12)*(1+XLOOKUP(DD$2,Assumptions!$C$94:$M$94,Assumptions!$C$98:$M$98))))</f>
        <v>-2413.303044</v>
      </c>
      <c r="DE27" s="54">
        <f t="array" ref="DE27">-(IF(DE$2=1,Assumptions!$H28/12,-(SUMIF($D$2:$EE$2,DE$2-1,$D27:$EE27)/12)*(1+XLOOKUP(DE$2,Assumptions!$C$94:$M$94,Assumptions!$C$98:$M$98))))</f>
        <v>-2413.303044</v>
      </c>
      <c r="DF27" s="54">
        <f t="array" ref="DF27">-(IF(DF$2=1,Assumptions!$H28/12,-(SUMIF($D$2:$EE$2,DF$2-1,$D27:$EE27)/12)*(1+XLOOKUP(DF$2,Assumptions!$C$94:$M$94,Assumptions!$C$98:$M$98))))</f>
        <v>-2413.303044</v>
      </c>
      <c r="DG27" s="54">
        <f t="array" ref="DG27">-(IF(DG$2=1,Assumptions!$H28/12,-(SUMIF($D$2:$EE$2,DG$2-1,$D27:$EE27)/12)*(1+XLOOKUP(DG$2,Assumptions!$C$94:$M$94,Assumptions!$C$98:$M$98))))</f>
        <v>-2413.303044</v>
      </c>
      <c r="DH27" s="54">
        <f t="array" ref="DH27">-(IF(DH$2=1,Assumptions!$H28/12,-(SUMIF($D$2:$EE$2,DH$2-1,$D27:$EE27)/12)*(1+XLOOKUP(DH$2,Assumptions!$C$94:$M$94,Assumptions!$C$98:$M$98))))</f>
        <v>-2485.702136</v>
      </c>
      <c r="DI27" s="54">
        <f t="array" ref="DI27">-(IF(DI$2=1,Assumptions!$H28/12,-(SUMIF($D$2:$EE$2,DI$2-1,$D27:$EE27)/12)*(1+XLOOKUP(DI$2,Assumptions!$C$94:$M$94,Assumptions!$C$98:$M$98))))</f>
        <v>-2485.702136</v>
      </c>
      <c r="DJ27" s="54">
        <f t="array" ref="DJ27">-(IF(DJ$2=1,Assumptions!$H28/12,-(SUMIF($D$2:$EE$2,DJ$2-1,$D27:$EE27)/12)*(1+XLOOKUP(DJ$2,Assumptions!$C$94:$M$94,Assumptions!$C$98:$M$98))))</f>
        <v>-2485.702136</v>
      </c>
      <c r="DK27" s="54">
        <f t="array" ref="DK27">-(IF(DK$2=1,Assumptions!$H28/12,-(SUMIF($D$2:$EE$2,DK$2-1,$D27:$EE27)/12)*(1+XLOOKUP(DK$2,Assumptions!$C$94:$M$94,Assumptions!$C$98:$M$98))))</f>
        <v>-2485.702136</v>
      </c>
      <c r="DL27" s="54">
        <f t="array" ref="DL27">-(IF(DL$2=1,Assumptions!$H28/12,-(SUMIF($D$2:$EE$2,DL$2-1,$D27:$EE27)/12)*(1+XLOOKUP(DL$2,Assumptions!$C$94:$M$94,Assumptions!$C$98:$M$98))))</f>
        <v>-2485.702136</v>
      </c>
      <c r="DM27" s="54">
        <f t="array" ref="DM27">-(IF(DM$2=1,Assumptions!$H28/12,-(SUMIF($D$2:$EE$2,DM$2-1,$D27:$EE27)/12)*(1+XLOOKUP(DM$2,Assumptions!$C$94:$M$94,Assumptions!$C$98:$M$98))))</f>
        <v>-2485.702136</v>
      </c>
      <c r="DN27" s="54">
        <f t="array" ref="DN27">-(IF(DN$2=1,Assumptions!$H28/12,-(SUMIF($D$2:$EE$2,DN$2-1,$D27:$EE27)/12)*(1+XLOOKUP(DN$2,Assumptions!$C$94:$M$94,Assumptions!$C$98:$M$98))))</f>
        <v>-2485.702136</v>
      </c>
      <c r="DO27" s="54">
        <f t="array" ref="DO27">-(IF(DO$2=1,Assumptions!$H28/12,-(SUMIF($D$2:$EE$2,DO$2-1,$D27:$EE27)/12)*(1+XLOOKUP(DO$2,Assumptions!$C$94:$M$94,Assumptions!$C$98:$M$98))))</f>
        <v>-2485.702136</v>
      </c>
      <c r="DP27" s="54">
        <f t="array" ref="DP27">-(IF(DP$2=1,Assumptions!$H28/12,-(SUMIF($D$2:$EE$2,DP$2-1,$D27:$EE27)/12)*(1+XLOOKUP(DP$2,Assumptions!$C$94:$M$94,Assumptions!$C$98:$M$98))))</f>
        <v>-2485.702136</v>
      </c>
      <c r="DQ27" s="54">
        <f t="array" ref="DQ27">-(IF(DQ$2=1,Assumptions!$H28/12,-(SUMIF($D$2:$EE$2,DQ$2-1,$D27:$EE27)/12)*(1+XLOOKUP(DQ$2,Assumptions!$C$94:$M$94,Assumptions!$C$98:$M$98))))</f>
        <v>-2485.702136</v>
      </c>
      <c r="DR27" s="54">
        <f t="array" ref="DR27">-(IF(DR$2=1,Assumptions!$H28/12,-(SUMIF($D$2:$EE$2,DR$2-1,$D27:$EE27)/12)*(1+XLOOKUP(DR$2,Assumptions!$C$94:$M$94,Assumptions!$C$98:$M$98))))</f>
        <v>-2485.702136</v>
      </c>
      <c r="DS27" s="54">
        <f t="array" ref="DS27">-(IF(DS$2=1,Assumptions!$H28/12,-(SUMIF($D$2:$EE$2,DS$2-1,$D27:$EE27)/12)*(1+XLOOKUP(DS$2,Assumptions!$C$94:$M$94,Assumptions!$C$98:$M$98))))</f>
        <v>-2485.702136</v>
      </c>
      <c r="DT27" s="54">
        <f t="array" ref="DT27">-(IF(DT$2=1,Assumptions!$H28/12,-(SUMIF($D$2:$EE$2,DT$2-1,$D27:$EE27)/12)*(1+XLOOKUP(DT$2,Assumptions!$C$94:$M$94,Assumptions!$C$98:$M$98))))</f>
        <v>-2560.2732</v>
      </c>
      <c r="DU27" s="54">
        <f t="array" ref="DU27">-(IF(DU$2=1,Assumptions!$H28/12,-(SUMIF($D$2:$EE$2,DU$2-1,$D27:$EE27)/12)*(1+XLOOKUP(DU$2,Assumptions!$C$94:$M$94,Assumptions!$C$98:$M$98))))</f>
        <v>-2560.2732</v>
      </c>
      <c r="DV27" s="54">
        <f t="array" ref="DV27">-(IF(DV$2=1,Assumptions!$H28/12,-(SUMIF($D$2:$EE$2,DV$2-1,$D27:$EE27)/12)*(1+XLOOKUP(DV$2,Assumptions!$C$94:$M$94,Assumptions!$C$98:$M$98))))</f>
        <v>-2560.2732</v>
      </c>
      <c r="DW27" s="54">
        <f t="array" ref="DW27">-(IF(DW$2=1,Assumptions!$H28/12,-(SUMIF($D$2:$EE$2,DW$2-1,$D27:$EE27)/12)*(1+XLOOKUP(DW$2,Assumptions!$C$94:$M$94,Assumptions!$C$98:$M$98))))</f>
        <v>-2560.2732</v>
      </c>
      <c r="DX27" s="54">
        <f t="array" ref="DX27">-(IF(DX$2=1,Assumptions!$H28/12,-(SUMIF($D$2:$EE$2,DX$2-1,$D27:$EE27)/12)*(1+XLOOKUP(DX$2,Assumptions!$C$94:$M$94,Assumptions!$C$98:$M$98))))</f>
        <v>-2560.2732</v>
      </c>
      <c r="DY27" s="54">
        <f t="array" ref="DY27">-(IF(DY$2=1,Assumptions!$H28/12,-(SUMIF($D$2:$EE$2,DY$2-1,$D27:$EE27)/12)*(1+XLOOKUP(DY$2,Assumptions!$C$94:$M$94,Assumptions!$C$98:$M$98))))</f>
        <v>-2560.2732</v>
      </c>
      <c r="DZ27" s="54">
        <f t="array" ref="DZ27">-(IF(DZ$2=1,Assumptions!$H28/12,-(SUMIF($D$2:$EE$2,DZ$2-1,$D27:$EE27)/12)*(1+XLOOKUP(DZ$2,Assumptions!$C$94:$M$94,Assumptions!$C$98:$M$98))))</f>
        <v>-2560.2732</v>
      </c>
      <c r="EA27" s="54">
        <f t="array" ref="EA27">-(IF(EA$2=1,Assumptions!$H28/12,-(SUMIF($D$2:$EE$2,EA$2-1,$D27:$EE27)/12)*(1+XLOOKUP(EA$2,Assumptions!$C$94:$M$94,Assumptions!$C$98:$M$98))))</f>
        <v>-2560.2732</v>
      </c>
      <c r="EB27" s="54">
        <f t="array" ref="EB27">-(IF(EB$2=1,Assumptions!$H28/12,-(SUMIF($D$2:$EE$2,EB$2-1,$D27:$EE27)/12)*(1+XLOOKUP(EB$2,Assumptions!$C$94:$M$94,Assumptions!$C$98:$M$98))))</f>
        <v>-2560.2732</v>
      </c>
      <c r="EC27" s="54">
        <f t="array" ref="EC27">-(IF(EC$2=1,Assumptions!$H28/12,-(SUMIF($D$2:$EE$2,EC$2-1,$D27:$EE27)/12)*(1+XLOOKUP(EC$2,Assumptions!$C$94:$M$94,Assumptions!$C$98:$M$98))))</f>
        <v>-2560.2732</v>
      </c>
      <c r="ED27" s="54">
        <f t="array" ref="ED27">-(IF(ED$2=1,Assumptions!$H28/12,-(SUMIF($D$2:$EE$2,ED$2-1,$D27:$EE27)/12)*(1+XLOOKUP(ED$2,Assumptions!$C$94:$M$94,Assumptions!$C$98:$M$98))))</f>
        <v>-2560.2732</v>
      </c>
      <c r="EE27" s="54">
        <f t="array" ref="EE27">-(IF(EE$2=1,Assumptions!$H28/12,-(SUMIF($D$2:$EE$2,EE$2-1,$D27:$EE27)/12)*(1+XLOOKUP(EE$2,Assumptions!$C$94:$M$94,Assumptions!$C$98:$M$98))))</f>
        <v>-2560.2732</v>
      </c>
    </row>
    <row r="28" ht="15.75" customHeight="1">
      <c r="A28" s="1"/>
      <c r="B28" s="1"/>
      <c r="C28" s="1" t="str">
        <f>Assumptions!B29</f>
        <v>Marketing</v>
      </c>
      <c r="D28" s="54">
        <f t="array" ref="D28">-(IF(D$2=1,Assumptions!$H29/12,-(SUMIF($D$2:$EE$2,D$2-1,$D28:$EE28)/12)*(1+XLOOKUP(D$2,Assumptions!$C$94:$M$94,Assumptions!$C$98:$M$98))))</f>
        <v>-558.9913</v>
      </c>
      <c r="E28" s="54">
        <f t="array" ref="E28">-(IF(E$2=1,Assumptions!$H29/12,-(SUMIF($D$2:$EE$2,E$2-1,$D28:$EE28)/12)*(1+XLOOKUP(E$2,Assumptions!$C$94:$M$94,Assumptions!$C$98:$M$98))))</f>
        <v>-558.9913</v>
      </c>
      <c r="F28" s="54">
        <f t="array" ref="F28">-(IF(F$2=1,Assumptions!$H29/12,-(SUMIF($D$2:$EE$2,F$2-1,$D28:$EE28)/12)*(1+XLOOKUP(F$2,Assumptions!$C$94:$M$94,Assumptions!$C$98:$M$98))))</f>
        <v>-558.9913</v>
      </c>
      <c r="G28" s="54">
        <f t="array" ref="G28">-(IF(G$2=1,Assumptions!$H29/12,-(SUMIF($D$2:$EE$2,G$2-1,$D28:$EE28)/12)*(1+XLOOKUP(G$2,Assumptions!$C$94:$M$94,Assumptions!$C$98:$M$98))))</f>
        <v>-558.9913</v>
      </c>
      <c r="H28" s="54">
        <f t="array" ref="H28">-(IF(H$2=1,Assumptions!$H29/12,-(SUMIF($D$2:$EE$2,H$2-1,$D28:$EE28)/12)*(1+XLOOKUP(H$2,Assumptions!$C$94:$M$94,Assumptions!$C$98:$M$98))))</f>
        <v>-558.9913</v>
      </c>
      <c r="I28" s="54">
        <f t="array" ref="I28">-(IF(I$2=1,Assumptions!$H29/12,-(SUMIF($D$2:$EE$2,I$2-1,$D28:$EE28)/12)*(1+XLOOKUP(I$2,Assumptions!$C$94:$M$94,Assumptions!$C$98:$M$98))))</f>
        <v>-558.9913</v>
      </c>
      <c r="J28" s="54">
        <f t="array" ref="J28">-(IF(J$2=1,Assumptions!$H29/12,-(SUMIF($D$2:$EE$2,J$2-1,$D28:$EE28)/12)*(1+XLOOKUP(J$2,Assumptions!$C$94:$M$94,Assumptions!$C$98:$M$98))))</f>
        <v>-558.9913</v>
      </c>
      <c r="K28" s="54">
        <f t="array" ref="K28">-(IF(K$2=1,Assumptions!$H29/12,-(SUMIF($D$2:$EE$2,K$2-1,$D28:$EE28)/12)*(1+XLOOKUP(K$2,Assumptions!$C$94:$M$94,Assumptions!$C$98:$M$98))))</f>
        <v>-558.9913</v>
      </c>
      <c r="L28" s="54">
        <f t="array" ref="L28">-(IF(L$2=1,Assumptions!$H29/12,-(SUMIF($D$2:$EE$2,L$2-1,$D28:$EE28)/12)*(1+XLOOKUP(L$2,Assumptions!$C$94:$M$94,Assumptions!$C$98:$M$98))))</f>
        <v>-558.9913</v>
      </c>
      <c r="M28" s="54">
        <f t="array" ref="M28">-(IF(M$2=1,Assumptions!$H29/12,-(SUMIF($D$2:$EE$2,M$2-1,$D28:$EE28)/12)*(1+XLOOKUP(M$2,Assumptions!$C$94:$M$94,Assumptions!$C$98:$M$98))))</f>
        <v>-558.9913</v>
      </c>
      <c r="N28" s="54">
        <f t="array" ref="N28">-(IF(N$2=1,Assumptions!$H29/12,-(SUMIF($D$2:$EE$2,N$2-1,$D28:$EE28)/12)*(1+XLOOKUP(N$2,Assumptions!$C$94:$M$94,Assumptions!$C$98:$M$98))))</f>
        <v>-558.9913</v>
      </c>
      <c r="O28" s="54">
        <f t="array" ref="O28">-(IF(O$2=1,Assumptions!$H29/12,-(SUMIF($D$2:$EE$2,O$2-1,$D28:$EE28)/12)*(1+XLOOKUP(O$2,Assumptions!$C$94:$M$94,Assumptions!$C$98:$M$98))))</f>
        <v>-558.9913</v>
      </c>
      <c r="P28" s="54">
        <f t="array" ref="P28">-(IF(P$2=1,Assumptions!$H29/12,-(SUMIF($D$2:$EE$2,P$2-1,$D28:$EE28)/12)*(1+XLOOKUP(P$2,Assumptions!$C$94:$M$94,Assumptions!$C$98:$M$98))))</f>
        <v>-575.761039</v>
      </c>
      <c r="Q28" s="54">
        <f t="array" ref="Q28">-(IF(Q$2=1,Assumptions!$H29/12,-(SUMIF($D$2:$EE$2,Q$2-1,$D28:$EE28)/12)*(1+XLOOKUP(Q$2,Assumptions!$C$94:$M$94,Assumptions!$C$98:$M$98))))</f>
        <v>-575.761039</v>
      </c>
      <c r="R28" s="54">
        <f t="array" ref="R28">-(IF(R$2=1,Assumptions!$H29/12,-(SUMIF($D$2:$EE$2,R$2-1,$D28:$EE28)/12)*(1+XLOOKUP(R$2,Assumptions!$C$94:$M$94,Assumptions!$C$98:$M$98))))</f>
        <v>-575.761039</v>
      </c>
      <c r="S28" s="54">
        <f t="array" ref="S28">-(IF(S$2=1,Assumptions!$H29/12,-(SUMIF($D$2:$EE$2,S$2-1,$D28:$EE28)/12)*(1+XLOOKUP(S$2,Assumptions!$C$94:$M$94,Assumptions!$C$98:$M$98))))</f>
        <v>-575.761039</v>
      </c>
      <c r="T28" s="54">
        <f t="array" ref="T28">-(IF(T$2=1,Assumptions!$H29/12,-(SUMIF($D$2:$EE$2,T$2-1,$D28:$EE28)/12)*(1+XLOOKUP(T$2,Assumptions!$C$94:$M$94,Assumptions!$C$98:$M$98))))</f>
        <v>-575.761039</v>
      </c>
      <c r="U28" s="54">
        <f t="array" ref="U28">-(IF(U$2=1,Assumptions!$H29/12,-(SUMIF($D$2:$EE$2,U$2-1,$D28:$EE28)/12)*(1+XLOOKUP(U$2,Assumptions!$C$94:$M$94,Assumptions!$C$98:$M$98))))</f>
        <v>-575.761039</v>
      </c>
      <c r="V28" s="54">
        <f t="array" ref="V28">-(IF(V$2=1,Assumptions!$H29/12,-(SUMIF($D$2:$EE$2,V$2-1,$D28:$EE28)/12)*(1+XLOOKUP(V$2,Assumptions!$C$94:$M$94,Assumptions!$C$98:$M$98))))</f>
        <v>-575.761039</v>
      </c>
      <c r="W28" s="54">
        <f t="array" ref="W28">-(IF(W$2=1,Assumptions!$H29/12,-(SUMIF($D$2:$EE$2,W$2-1,$D28:$EE28)/12)*(1+XLOOKUP(W$2,Assumptions!$C$94:$M$94,Assumptions!$C$98:$M$98))))</f>
        <v>-575.761039</v>
      </c>
      <c r="X28" s="54">
        <f t="array" ref="X28">-(IF(X$2=1,Assumptions!$H29/12,-(SUMIF($D$2:$EE$2,X$2-1,$D28:$EE28)/12)*(1+XLOOKUP(X$2,Assumptions!$C$94:$M$94,Assumptions!$C$98:$M$98))))</f>
        <v>-575.761039</v>
      </c>
      <c r="Y28" s="54">
        <f t="array" ref="Y28">-(IF(Y$2=1,Assumptions!$H29/12,-(SUMIF($D$2:$EE$2,Y$2-1,$D28:$EE28)/12)*(1+XLOOKUP(Y$2,Assumptions!$C$94:$M$94,Assumptions!$C$98:$M$98))))</f>
        <v>-575.761039</v>
      </c>
      <c r="Z28" s="54">
        <f t="array" ref="Z28">-(IF(Z$2=1,Assumptions!$H29/12,-(SUMIF($D$2:$EE$2,Z$2-1,$D28:$EE28)/12)*(1+XLOOKUP(Z$2,Assumptions!$C$94:$M$94,Assumptions!$C$98:$M$98))))</f>
        <v>-575.761039</v>
      </c>
      <c r="AA28" s="54">
        <f t="array" ref="AA28">-(IF(AA$2=1,Assumptions!$H29/12,-(SUMIF($D$2:$EE$2,AA$2-1,$D28:$EE28)/12)*(1+XLOOKUP(AA$2,Assumptions!$C$94:$M$94,Assumptions!$C$98:$M$98))))</f>
        <v>-575.761039</v>
      </c>
      <c r="AB28" s="54">
        <f t="array" ref="AB28">-(IF(AB$2=1,Assumptions!$H29/12,-(SUMIF($D$2:$EE$2,AB$2-1,$D28:$EE28)/12)*(1+XLOOKUP(AB$2,Assumptions!$C$94:$M$94,Assumptions!$C$98:$M$98))))</f>
        <v>-593.0338702</v>
      </c>
      <c r="AC28" s="54">
        <f t="array" ref="AC28">-(IF(AC$2=1,Assumptions!$H29/12,-(SUMIF($D$2:$EE$2,AC$2-1,$D28:$EE28)/12)*(1+XLOOKUP(AC$2,Assumptions!$C$94:$M$94,Assumptions!$C$98:$M$98))))</f>
        <v>-593.0338702</v>
      </c>
      <c r="AD28" s="54">
        <f t="array" ref="AD28">-(IF(AD$2=1,Assumptions!$H29/12,-(SUMIF($D$2:$EE$2,AD$2-1,$D28:$EE28)/12)*(1+XLOOKUP(AD$2,Assumptions!$C$94:$M$94,Assumptions!$C$98:$M$98))))</f>
        <v>-593.0338702</v>
      </c>
      <c r="AE28" s="54">
        <f t="array" ref="AE28">-(IF(AE$2=1,Assumptions!$H29/12,-(SUMIF($D$2:$EE$2,AE$2-1,$D28:$EE28)/12)*(1+XLOOKUP(AE$2,Assumptions!$C$94:$M$94,Assumptions!$C$98:$M$98))))</f>
        <v>-593.0338702</v>
      </c>
      <c r="AF28" s="54">
        <f t="array" ref="AF28">-(IF(AF$2=1,Assumptions!$H29/12,-(SUMIF($D$2:$EE$2,AF$2-1,$D28:$EE28)/12)*(1+XLOOKUP(AF$2,Assumptions!$C$94:$M$94,Assumptions!$C$98:$M$98))))</f>
        <v>-593.0338702</v>
      </c>
      <c r="AG28" s="54">
        <f t="array" ref="AG28">-(IF(AG$2=1,Assumptions!$H29/12,-(SUMIF($D$2:$EE$2,AG$2-1,$D28:$EE28)/12)*(1+XLOOKUP(AG$2,Assumptions!$C$94:$M$94,Assumptions!$C$98:$M$98))))</f>
        <v>-593.0338702</v>
      </c>
      <c r="AH28" s="54">
        <f t="array" ref="AH28">-(IF(AH$2=1,Assumptions!$H29/12,-(SUMIF($D$2:$EE$2,AH$2-1,$D28:$EE28)/12)*(1+XLOOKUP(AH$2,Assumptions!$C$94:$M$94,Assumptions!$C$98:$M$98))))</f>
        <v>-593.0338702</v>
      </c>
      <c r="AI28" s="54">
        <f t="array" ref="AI28">-(IF(AI$2=1,Assumptions!$H29/12,-(SUMIF($D$2:$EE$2,AI$2-1,$D28:$EE28)/12)*(1+XLOOKUP(AI$2,Assumptions!$C$94:$M$94,Assumptions!$C$98:$M$98))))</f>
        <v>-593.0338702</v>
      </c>
      <c r="AJ28" s="54">
        <f t="array" ref="AJ28">-(IF(AJ$2=1,Assumptions!$H29/12,-(SUMIF($D$2:$EE$2,AJ$2-1,$D28:$EE28)/12)*(1+XLOOKUP(AJ$2,Assumptions!$C$94:$M$94,Assumptions!$C$98:$M$98))))</f>
        <v>-593.0338702</v>
      </c>
      <c r="AK28" s="54">
        <f t="array" ref="AK28">-(IF(AK$2=1,Assumptions!$H29/12,-(SUMIF($D$2:$EE$2,AK$2-1,$D28:$EE28)/12)*(1+XLOOKUP(AK$2,Assumptions!$C$94:$M$94,Assumptions!$C$98:$M$98))))</f>
        <v>-593.0338702</v>
      </c>
      <c r="AL28" s="54">
        <f t="array" ref="AL28">-(IF(AL$2=1,Assumptions!$H29/12,-(SUMIF($D$2:$EE$2,AL$2-1,$D28:$EE28)/12)*(1+XLOOKUP(AL$2,Assumptions!$C$94:$M$94,Assumptions!$C$98:$M$98))))</f>
        <v>-593.0338702</v>
      </c>
      <c r="AM28" s="54">
        <f t="array" ref="AM28">-(IF(AM$2=1,Assumptions!$H29/12,-(SUMIF($D$2:$EE$2,AM$2-1,$D28:$EE28)/12)*(1+XLOOKUP(AM$2,Assumptions!$C$94:$M$94,Assumptions!$C$98:$M$98))))</f>
        <v>-593.0338702</v>
      </c>
      <c r="AN28" s="54">
        <f t="array" ref="AN28">-(IF(AN$2=1,Assumptions!$H29/12,-(SUMIF($D$2:$EE$2,AN$2-1,$D28:$EE28)/12)*(1+XLOOKUP(AN$2,Assumptions!$C$94:$M$94,Assumptions!$C$98:$M$98))))</f>
        <v>-610.8248863</v>
      </c>
      <c r="AO28" s="54">
        <f t="array" ref="AO28">-(IF(AO$2=1,Assumptions!$H29/12,-(SUMIF($D$2:$EE$2,AO$2-1,$D28:$EE28)/12)*(1+XLOOKUP(AO$2,Assumptions!$C$94:$M$94,Assumptions!$C$98:$M$98))))</f>
        <v>-610.8248863</v>
      </c>
      <c r="AP28" s="54">
        <f t="array" ref="AP28">-(IF(AP$2=1,Assumptions!$H29/12,-(SUMIF($D$2:$EE$2,AP$2-1,$D28:$EE28)/12)*(1+XLOOKUP(AP$2,Assumptions!$C$94:$M$94,Assumptions!$C$98:$M$98))))</f>
        <v>-610.8248863</v>
      </c>
      <c r="AQ28" s="54">
        <f t="array" ref="AQ28">-(IF(AQ$2=1,Assumptions!$H29/12,-(SUMIF($D$2:$EE$2,AQ$2-1,$D28:$EE28)/12)*(1+XLOOKUP(AQ$2,Assumptions!$C$94:$M$94,Assumptions!$C$98:$M$98))))</f>
        <v>-610.8248863</v>
      </c>
      <c r="AR28" s="54">
        <f t="array" ref="AR28">-(IF(AR$2=1,Assumptions!$H29/12,-(SUMIF($D$2:$EE$2,AR$2-1,$D28:$EE28)/12)*(1+XLOOKUP(AR$2,Assumptions!$C$94:$M$94,Assumptions!$C$98:$M$98))))</f>
        <v>-610.8248863</v>
      </c>
      <c r="AS28" s="54">
        <f t="array" ref="AS28">-(IF(AS$2=1,Assumptions!$H29/12,-(SUMIF($D$2:$EE$2,AS$2-1,$D28:$EE28)/12)*(1+XLOOKUP(AS$2,Assumptions!$C$94:$M$94,Assumptions!$C$98:$M$98))))</f>
        <v>-610.8248863</v>
      </c>
      <c r="AT28" s="54">
        <f t="array" ref="AT28">-(IF(AT$2=1,Assumptions!$H29/12,-(SUMIF($D$2:$EE$2,AT$2-1,$D28:$EE28)/12)*(1+XLOOKUP(AT$2,Assumptions!$C$94:$M$94,Assumptions!$C$98:$M$98))))</f>
        <v>-610.8248863</v>
      </c>
      <c r="AU28" s="54">
        <f t="array" ref="AU28">-(IF(AU$2=1,Assumptions!$H29/12,-(SUMIF($D$2:$EE$2,AU$2-1,$D28:$EE28)/12)*(1+XLOOKUP(AU$2,Assumptions!$C$94:$M$94,Assumptions!$C$98:$M$98))))</f>
        <v>-610.8248863</v>
      </c>
      <c r="AV28" s="54">
        <f t="array" ref="AV28">-(IF(AV$2=1,Assumptions!$H29/12,-(SUMIF($D$2:$EE$2,AV$2-1,$D28:$EE28)/12)*(1+XLOOKUP(AV$2,Assumptions!$C$94:$M$94,Assumptions!$C$98:$M$98))))</f>
        <v>-610.8248863</v>
      </c>
      <c r="AW28" s="54">
        <f t="array" ref="AW28">-(IF(AW$2=1,Assumptions!$H29/12,-(SUMIF($D$2:$EE$2,AW$2-1,$D28:$EE28)/12)*(1+XLOOKUP(AW$2,Assumptions!$C$94:$M$94,Assumptions!$C$98:$M$98))))</f>
        <v>-610.8248863</v>
      </c>
      <c r="AX28" s="54">
        <f t="array" ref="AX28">-(IF(AX$2=1,Assumptions!$H29/12,-(SUMIF($D$2:$EE$2,AX$2-1,$D28:$EE28)/12)*(1+XLOOKUP(AX$2,Assumptions!$C$94:$M$94,Assumptions!$C$98:$M$98))))</f>
        <v>-610.8248863</v>
      </c>
      <c r="AY28" s="54">
        <f t="array" ref="AY28">-(IF(AY$2=1,Assumptions!$H29/12,-(SUMIF($D$2:$EE$2,AY$2-1,$D28:$EE28)/12)*(1+XLOOKUP(AY$2,Assumptions!$C$94:$M$94,Assumptions!$C$98:$M$98))))</f>
        <v>-610.8248863</v>
      </c>
      <c r="AZ28" s="54">
        <f t="array" ref="AZ28">-(IF(AZ$2=1,Assumptions!$H29/12,-(SUMIF($D$2:$EE$2,AZ$2-1,$D28:$EE28)/12)*(1+XLOOKUP(AZ$2,Assumptions!$C$94:$M$94,Assumptions!$C$98:$M$98))))</f>
        <v>-629.1496329</v>
      </c>
      <c r="BA28" s="54">
        <f t="array" ref="BA28">-(IF(BA$2=1,Assumptions!$H29/12,-(SUMIF($D$2:$EE$2,BA$2-1,$D28:$EE28)/12)*(1+XLOOKUP(BA$2,Assumptions!$C$94:$M$94,Assumptions!$C$98:$M$98))))</f>
        <v>-629.1496329</v>
      </c>
      <c r="BB28" s="54">
        <f t="array" ref="BB28">-(IF(BB$2=1,Assumptions!$H29/12,-(SUMIF($D$2:$EE$2,BB$2-1,$D28:$EE28)/12)*(1+XLOOKUP(BB$2,Assumptions!$C$94:$M$94,Assumptions!$C$98:$M$98))))</f>
        <v>-629.1496329</v>
      </c>
      <c r="BC28" s="54">
        <f t="array" ref="BC28">-(IF(BC$2=1,Assumptions!$H29/12,-(SUMIF($D$2:$EE$2,BC$2-1,$D28:$EE28)/12)*(1+XLOOKUP(BC$2,Assumptions!$C$94:$M$94,Assumptions!$C$98:$M$98))))</f>
        <v>-629.1496329</v>
      </c>
      <c r="BD28" s="54">
        <f t="array" ref="BD28">-(IF(BD$2=1,Assumptions!$H29/12,-(SUMIF($D$2:$EE$2,BD$2-1,$D28:$EE28)/12)*(1+XLOOKUP(BD$2,Assumptions!$C$94:$M$94,Assumptions!$C$98:$M$98))))</f>
        <v>-629.1496329</v>
      </c>
      <c r="BE28" s="54">
        <f t="array" ref="BE28">-(IF(BE$2=1,Assumptions!$H29/12,-(SUMIF($D$2:$EE$2,BE$2-1,$D28:$EE28)/12)*(1+XLOOKUP(BE$2,Assumptions!$C$94:$M$94,Assumptions!$C$98:$M$98))))</f>
        <v>-629.1496329</v>
      </c>
      <c r="BF28" s="54">
        <f t="array" ref="BF28">-(IF(BF$2=1,Assumptions!$H29/12,-(SUMIF($D$2:$EE$2,BF$2-1,$D28:$EE28)/12)*(1+XLOOKUP(BF$2,Assumptions!$C$94:$M$94,Assumptions!$C$98:$M$98))))</f>
        <v>-629.1496329</v>
      </c>
      <c r="BG28" s="54">
        <f t="array" ref="BG28">-(IF(BG$2=1,Assumptions!$H29/12,-(SUMIF($D$2:$EE$2,BG$2-1,$D28:$EE28)/12)*(1+XLOOKUP(BG$2,Assumptions!$C$94:$M$94,Assumptions!$C$98:$M$98))))</f>
        <v>-629.1496329</v>
      </c>
      <c r="BH28" s="54">
        <f t="array" ref="BH28">-(IF(BH$2=1,Assumptions!$H29/12,-(SUMIF($D$2:$EE$2,BH$2-1,$D28:$EE28)/12)*(1+XLOOKUP(BH$2,Assumptions!$C$94:$M$94,Assumptions!$C$98:$M$98))))</f>
        <v>-629.1496329</v>
      </c>
      <c r="BI28" s="54">
        <f t="array" ref="BI28">-(IF(BI$2=1,Assumptions!$H29/12,-(SUMIF($D$2:$EE$2,BI$2-1,$D28:$EE28)/12)*(1+XLOOKUP(BI$2,Assumptions!$C$94:$M$94,Assumptions!$C$98:$M$98))))</f>
        <v>-629.1496329</v>
      </c>
      <c r="BJ28" s="54">
        <f t="array" ref="BJ28">-(IF(BJ$2=1,Assumptions!$H29/12,-(SUMIF($D$2:$EE$2,BJ$2-1,$D28:$EE28)/12)*(1+XLOOKUP(BJ$2,Assumptions!$C$94:$M$94,Assumptions!$C$98:$M$98))))</f>
        <v>-629.1496329</v>
      </c>
      <c r="BK28" s="54">
        <f t="array" ref="BK28">-(IF(BK$2=1,Assumptions!$H29/12,-(SUMIF($D$2:$EE$2,BK$2-1,$D28:$EE28)/12)*(1+XLOOKUP(BK$2,Assumptions!$C$94:$M$94,Assumptions!$C$98:$M$98))))</f>
        <v>-629.1496329</v>
      </c>
      <c r="BL28" s="54">
        <f t="array" ref="BL28">-(IF(BL$2=1,Assumptions!$H29/12,-(SUMIF($D$2:$EE$2,BL$2-1,$D28:$EE28)/12)*(1+XLOOKUP(BL$2,Assumptions!$C$94:$M$94,Assumptions!$C$98:$M$98))))</f>
        <v>-648.0241218</v>
      </c>
      <c r="BM28" s="54">
        <f t="array" ref="BM28">-(IF(BM$2=1,Assumptions!$H29/12,-(SUMIF($D$2:$EE$2,BM$2-1,$D28:$EE28)/12)*(1+XLOOKUP(BM$2,Assumptions!$C$94:$M$94,Assumptions!$C$98:$M$98))))</f>
        <v>-648.0241218</v>
      </c>
      <c r="BN28" s="54">
        <f t="array" ref="BN28">-(IF(BN$2=1,Assumptions!$H29/12,-(SUMIF($D$2:$EE$2,BN$2-1,$D28:$EE28)/12)*(1+XLOOKUP(BN$2,Assumptions!$C$94:$M$94,Assumptions!$C$98:$M$98))))</f>
        <v>-648.0241218</v>
      </c>
      <c r="BO28" s="54">
        <f t="array" ref="BO28">-(IF(BO$2=1,Assumptions!$H29/12,-(SUMIF($D$2:$EE$2,BO$2-1,$D28:$EE28)/12)*(1+XLOOKUP(BO$2,Assumptions!$C$94:$M$94,Assumptions!$C$98:$M$98))))</f>
        <v>-648.0241218</v>
      </c>
      <c r="BP28" s="54">
        <f t="array" ref="BP28">-(IF(BP$2=1,Assumptions!$H29/12,-(SUMIF($D$2:$EE$2,BP$2-1,$D28:$EE28)/12)*(1+XLOOKUP(BP$2,Assumptions!$C$94:$M$94,Assumptions!$C$98:$M$98))))</f>
        <v>-648.0241218</v>
      </c>
      <c r="BQ28" s="54">
        <f t="array" ref="BQ28">-(IF(BQ$2=1,Assumptions!$H29/12,-(SUMIF($D$2:$EE$2,BQ$2-1,$D28:$EE28)/12)*(1+XLOOKUP(BQ$2,Assumptions!$C$94:$M$94,Assumptions!$C$98:$M$98))))</f>
        <v>-648.0241218</v>
      </c>
      <c r="BR28" s="54">
        <f t="array" ref="BR28">-(IF(BR$2=1,Assumptions!$H29/12,-(SUMIF($D$2:$EE$2,BR$2-1,$D28:$EE28)/12)*(1+XLOOKUP(BR$2,Assumptions!$C$94:$M$94,Assumptions!$C$98:$M$98))))</f>
        <v>-648.0241218</v>
      </c>
      <c r="BS28" s="54">
        <f t="array" ref="BS28">-(IF(BS$2=1,Assumptions!$H29/12,-(SUMIF($D$2:$EE$2,BS$2-1,$D28:$EE28)/12)*(1+XLOOKUP(BS$2,Assumptions!$C$94:$M$94,Assumptions!$C$98:$M$98))))</f>
        <v>-648.0241218</v>
      </c>
      <c r="BT28" s="54">
        <f t="array" ref="BT28">-(IF(BT$2=1,Assumptions!$H29/12,-(SUMIF($D$2:$EE$2,BT$2-1,$D28:$EE28)/12)*(1+XLOOKUP(BT$2,Assumptions!$C$94:$M$94,Assumptions!$C$98:$M$98))))</f>
        <v>-648.0241218</v>
      </c>
      <c r="BU28" s="54">
        <f t="array" ref="BU28">-(IF(BU$2=1,Assumptions!$H29/12,-(SUMIF($D$2:$EE$2,BU$2-1,$D28:$EE28)/12)*(1+XLOOKUP(BU$2,Assumptions!$C$94:$M$94,Assumptions!$C$98:$M$98))))</f>
        <v>-648.0241218</v>
      </c>
      <c r="BV28" s="54">
        <f t="array" ref="BV28">-(IF(BV$2=1,Assumptions!$H29/12,-(SUMIF($D$2:$EE$2,BV$2-1,$D28:$EE28)/12)*(1+XLOOKUP(BV$2,Assumptions!$C$94:$M$94,Assumptions!$C$98:$M$98))))</f>
        <v>-648.0241218</v>
      </c>
      <c r="BW28" s="54">
        <f t="array" ref="BW28">-(IF(BW$2=1,Assumptions!$H29/12,-(SUMIF($D$2:$EE$2,BW$2-1,$D28:$EE28)/12)*(1+XLOOKUP(BW$2,Assumptions!$C$94:$M$94,Assumptions!$C$98:$M$98))))</f>
        <v>-648.0241218</v>
      </c>
      <c r="BX28" s="54">
        <f t="array" ref="BX28">-(IF(BX$2=1,Assumptions!$H29/12,-(SUMIF($D$2:$EE$2,BX$2-1,$D28:$EE28)/12)*(1+XLOOKUP(BX$2,Assumptions!$C$94:$M$94,Assumptions!$C$98:$M$98))))</f>
        <v>-667.4648455</v>
      </c>
      <c r="BY28" s="54">
        <f t="array" ref="BY28">-(IF(BY$2=1,Assumptions!$H29/12,-(SUMIF($D$2:$EE$2,BY$2-1,$D28:$EE28)/12)*(1+XLOOKUP(BY$2,Assumptions!$C$94:$M$94,Assumptions!$C$98:$M$98))))</f>
        <v>-667.4648455</v>
      </c>
      <c r="BZ28" s="54">
        <f t="array" ref="BZ28">-(IF(BZ$2=1,Assumptions!$H29/12,-(SUMIF($D$2:$EE$2,BZ$2-1,$D28:$EE28)/12)*(1+XLOOKUP(BZ$2,Assumptions!$C$94:$M$94,Assumptions!$C$98:$M$98))))</f>
        <v>-667.4648455</v>
      </c>
      <c r="CA28" s="54">
        <f t="array" ref="CA28">-(IF(CA$2=1,Assumptions!$H29/12,-(SUMIF($D$2:$EE$2,CA$2-1,$D28:$EE28)/12)*(1+XLOOKUP(CA$2,Assumptions!$C$94:$M$94,Assumptions!$C$98:$M$98))))</f>
        <v>-667.4648455</v>
      </c>
      <c r="CB28" s="54">
        <f t="array" ref="CB28">-(IF(CB$2=1,Assumptions!$H29/12,-(SUMIF($D$2:$EE$2,CB$2-1,$D28:$EE28)/12)*(1+XLOOKUP(CB$2,Assumptions!$C$94:$M$94,Assumptions!$C$98:$M$98))))</f>
        <v>-667.4648455</v>
      </c>
      <c r="CC28" s="54">
        <f t="array" ref="CC28">-(IF(CC$2=1,Assumptions!$H29/12,-(SUMIF($D$2:$EE$2,CC$2-1,$D28:$EE28)/12)*(1+XLOOKUP(CC$2,Assumptions!$C$94:$M$94,Assumptions!$C$98:$M$98))))</f>
        <v>-667.4648455</v>
      </c>
      <c r="CD28" s="54">
        <f t="array" ref="CD28">-(IF(CD$2=1,Assumptions!$H29/12,-(SUMIF($D$2:$EE$2,CD$2-1,$D28:$EE28)/12)*(1+XLOOKUP(CD$2,Assumptions!$C$94:$M$94,Assumptions!$C$98:$M$98))))</f>
        <v>-667.4648455</v>
      </c>
      <c r="CE28" s="54">
        <f t="array" ref="CE28">-(IF(CE$2=1,Assumptions!$H29/12,-(SUMIF($D$2:$EE$2,CE$2-1,$D28:$EE28)/12)*(1+XLOOKUP(CE$2,Assumptions!$C$94:$M$94,Assumptions!$C$98:$M$98))))</f>
        <v>-667.4648455</v>
      </c>
      <c r="CF28" s="54">
        <f t="array" ref="CF28">-(IF(CF$2=1,Assumptions!$H29/12,-(SUMIF($D$2:$EE$2,CF$2-1,$D28:$EE28)/12)*(1+XLOOKUP(CF$2,Assumptions!$C$94:$M$94,Assumptions!$C$98:$M$98))))</f>
        <v>-667.4648455</v>
      </c>
      <c r="CG28" s="54">
        <f t="array" ref="CG28">-(IF(CG$2=1,Assumptions!$H29/12,-(SUMIF($D$2:$EE$2,CG$2-1,$D28:$EE28)/12)*(1+XLOOKUP(CG$2,Assumptions!$C$94:$M$94,Assumptions!$C$98:$M$98))))</f>
        <v>-667.4648455</v>
      </c>
      <c r="CH28" s="54">
        <f t="array" ref="CH28">-(IF(CH$2=1,Assumptions!$H29/12,-(SUMIF($D$2:$EE$2,CH$2-1,$D28:$EE28)/12)*(1+XLOOKUP(CH$2,Assumptions!$C$94:$M$94,Assumptions!$C$98:$M$98))))</f>
        <v>-667.4648455</v>
      </c>
      <c r="CI28" s="54">
        <f t="array" ref="CI28">-(IF(CI$2=1,Assumptions!$H29/12,-(SUMIF($D$2:$EE$2,CI$2-1,$D28:$EE28)/12)*(1+XLOOKUP(CI$2,Assumptions!$C$94:$M$94,Assumptions!$C$98:$M$98))))</f>
        <v>-667.4648455</v>
      </c>
      <c r="CJ28" s="54">
        <f t="array" ref="CJ28">-(IF(CJ$2=1,Assumptions!$H29/12,-(SUMIF($D$2:$EE$2,CJ$2-1,$D28:$EE28)/12)*(1+XLOOKUP(CJ$2,Assumptions!$C$94:$M$94,Assumptions!$C$98:$M$98))))</f>
        <v>-687.4887909</v>
      </c>
      <c r="CK28" s="54">
        <f t="array" ref="CK28">-(IF(CK$2=1,Assumptions!$H29/12,-(SUMIF($D$2:$EE$2,CK$2-1,$D28:$EE28)/12)*(1+XLOOKUP(CK$2,Assumptions!$C$94:$M$94,Assumptions!$C$98:$M$98))))</f>
        <v>-687.4887909</v>
      </c>
      <c r="CL28" s="54">
        <f t="array" ref="CL28">-(IF(CL$2=1,Assumptions!$H29/12,-(SUMIF($D$2:$EE$2,CL$2-1,$D28:$EE28)/12)*(1+XLOOKUP(CL$2,Assumptions!$C$94:$M$94,Assumptions!$C$98:$M$98))))</f>
        <v>-687.4887909</v>
      </c>
      <c r="CM28" s="54">
        <f t="array" ref="CM28">-(IF(CM$2=1,Assumptions!$H29/12,-(SUMIF($D$2:$EE$2,CM$2-1,$D28:$EE28)/12)*(1+XLOOKUP(CM$2,Assumptions!$C$94:$M$94,Assumptions!$C$98:$M$98))))</f>
        <v>-687.4887909</v>
      </c>
      <c r="CN28" s="54">
        <f t="array" ref="CN28">-(IF(CN$2=1,Assumptions!$H29/12,-(SUMIF($D$2:$EE$2,CN$2-1,$D28:$EE28)/12)*(1+XLOOKUP(CN$2,Assumptions!$C$94:$M$94,Assumptions!$C$98:$M$98))))</f>
        <v>-687.4887909</v>
      </c>
      <c r="CO28" s="54">
        <f t="array" ref="CO28">-(IF(CO$2=1,Assumptions!$H29/12,-(SUMIF($D$2:$EE$2,CO$2-1,$D28:$EE28)/12)*(1+XLOOKUP(CO$2,Assumptions!$C$94:$M$94,Assumptions!$C$98:$M$98))))</f>
        <v>-687.4887909</v>
      </c>
      <c r="CP28" s="54">
        <f t="array" ref="CP28">-(IF(CP$2=1,Assumptions!$H29/12,-(SUMIF($D$2:$EE$2,CP$2-1,$D28:$EE28)/12)*(1+XLOOKUP(CP$2,Assumptions!$C$94:$M$94,Assumptions!$C$98:$M$98))))</f>
        <v>-687.4887909</v>
      </c>
      <c r="CQ28" s="54">
        <f t="array" ref="CQ28">-(IF(CQ$2=1,Assumptions!$H29/12,-(SUMIF($D$2:$EE$2,CQ$2-1,$D28:$EE28)/12)*(1+XLOOKUP(CQ$2,Assumptions!$C$94:$M$94,Assumptions!$C$98:$M$98))))</f>
        <v>-687.4887909</v>
      </c>
      <c r="CR28" s="54">
        <f t="array" ref="CR28">-(IF(CR$2=1,Assumptions!$H29/12,-(SUMIF($D$2:$EE$2,CR$2-1,$D28:$EE28)/12)*(1+XLOOKUP(CR$2,Assumptions!$C$94:$M$94,Assumptions!$C$98:$M$98))))</f>
        <v>-687.4887909</v>
      </c>
      <c r="CS28" s="54">
        <f t="array" ref="CS28">-(IF(CS$2=1,Assumptions!$H29/12,-(SUMIF($D$2:$EE$2,CS$2-1,$D28:$EE28)/12)*(1+XLOOKUP(CS$2,Assumptions!$C$94:$M$94,Assumptions!$C$98:$M$98))))</f>
        <v>-687.4887909</v>
      </c>
      <c r="CT28" s="54">
        <f t="array" ref="CT28">-(IF(CT$2=1,Assumptions!$H29/12,-(SUMIF($D$2:$EE$2,CT$2-1,$D28:$EE28)/12)*(1+XLOOKUP(CT$2,Assumptions!$C$94:$M$94,Assumptions!$C$98:$M$98))))</f>
        <v>-687.4887909</v>
      </c>
      <c r="CU28" s="54">
        <f t="array" ref="CU28">-(IF(CU$2=1,Assumptions!$H29/12,-(SUMIF($D$2:$EE$2,CU$2-1,$D28:$EE28)/12)*(1+XLOOKUP(CU$2,Assumptions!$C$94:$M$94,Assumptions!$C$98:$M$98))))</f>
        <v>-687.4887909</v>
      </c>
      <c r="CV28" s="54">
        <f t="array" ref="CV28">-(IF(CV$2=1,Assumptions!$H29/12,-(SUMIF($D$2:$EE$2,CV$2-1,$D28:$EE28)/12)*(1+XLOOKUP(CV$2,Assumptions!$C$94:$M$94,Assumptions!$C$98:$M$98))))</f>
        <v>-708.1134546</v>
      </c>
      <c r="CW28" s="54">
        <f t="array" ref="CW28">-(IF(CW$2=1,Assumptions!$H29/12,-(SUMIF($D$2:$EE$2,CW$2-1,$D28:$EE28)/12)*(1+XLOOKUP(CW$2,Assumptions!$C$94:$M$94,Assumptions!$C$98:$M$98))))</f>
        <v>-708.1134546</v>
      </c>
      <c r="CX28" s="54">
        <f t="array" ref="CX28">-(IF(CX$2=1,Assumptions!$H29/12,-(SUMIF($D$2:$EE$2,CX$2-1,$D28:$EE28)/12)*(1+XLOOKUP(CX$2,Assumptions!$C$94:$M$94,Assumptions!$C$98:$M$98))))</f>
        <v>-708.1134546</v>
      </c>
      <c r="CY28" s="54">
        <f t="array" ref="CY28">-(IF(CY$2=1,Assumptions!$H29/12,-(SUMIF($D$2:$EE$2,CY$2-1,$D28:$EE28)/12)*(1+XLOOKUP(CY$2,Assumptions!$C$94:$M$94,Assumptions!$C$98:$M$98))))</f>
        <v>-708.1134546</v>
      </c>
      <c r="CZ28" s="54">
        <f t="array" ref="CZ28">-(IF(CZ$2=1,Assumptions!$H29/12,-(SUMIF($D$2:$EE$2,CZ$2-1,$D28:$EE28)/12)*(1+XLOOKUP(CZ$2,Assumptions!$C$94:$M$94,Assumptions!$C$98:$M$98))))</f>
        <v>-708.1134546</v>
      </c>
      <c r="DA28" s="54">
        <f t="array" ref="DA28">-(IF(DA$2=1,Assumptions!$H29/12,-(SUMIF($D$2:$EE$2,DA$2-1,$D28:$EE28)/12)*(1+XLOOKUP(DA$2,Assumptions!$C$94:$M$94,Assumptions!$C$98:$M$98))))</f>
        <v>-708.1134546</v>
      </c>
      <c r="DB28" s="54">
        <f t="array" ref="DB28">-(IF(DB$2=1,Assumptions!$H29/12,-(SUMIF($D$2:$EE$2,DB$2-1,$D28:$EE28)/12)*(1+XLOOKUP(DB$2,Assumptions!$C$94:$M$94,Assumptions!$C$98:$M$98))))</f>
        <v>-708.1134546</v>
      </c>
      <c r="DC28" s="54">
        <f t="array" ref="DC28">-(IF(DC$2=1,Assumptions!$H29/12,-(SUMIF($D$2:$EE$2,DC$2-1,$D28:$EE28)/12)*(1+XLOOKUP(DC$2,Assumptions!$C$94:$M$94,Assumptions!$C$98:$M$98))))</f>
        <v>-708.1134546</v>
      </c>
      <c r="DD28" s="54">
        <f t="array" ref="DD28">-(IF(DD$2=1,Assumptions!$H29/12,-(SUMIF($D$2:$EE$2,DD$2-1,$D28:$EE28)/12)*(1+XLOOKUP(DD$2,Assumptions!$C$94:$M$94,Assumptions!$C$98:$M$98))))</f>
        <v>-708.1134546</v>
      </c>
      <c r="DE28" s="54">
        <f t="array" ref="DE28">-(IF(DE$2=1,Assumptions!$H29/12,-(SUMIF($D$2:$EE$2,DE$2-1,$D28:$EE28)/12)*(1+XLOOKUP(DE$2,Assumptions!$C$94:$M$94,Assumptions!$C$98:$M$98))))</f>
        <v>-708.1134546</v>
      </c>
      <c r="DF28" s="54">
        <f t="array" ref="DF28">-(IF(DF$2=1,Assumptions!$H29/12,-(SUMIF($D$2:$EE$2,DF$2-1,$D28:$EE28)/12)*(1+XLOOKUP(DF$2,Assumptions!$C$94:$M$94,Assumptions!$C$98:$M$98))))</f>
        <v>-708.1134546</v>
      </c>
      <c r="DG28" s="54">
        <f t="array" ref="DG28">-(IF(DG$2=1,Assumptions!$H29/12,-(SUMIF($D$2:$EE$2,DG$2-1,$D28:$EE28)/12)*(1+XLOOKUP(DG$2,Assumptions!$C$94:$M$94,Assumptions!$C$98:$M$98))))</f>
        <v>-708.1134546</v>
      </c>
      <c r="DH28" s="54">
        <f t="array" ref="DH28">-(IF(DH$2=1,Assumptions!$H29/12,-(SUMIF($D$2:$EE$2,DH$2-1,$D28:$EE28)/12)*(1+XLOOKUP(DH$2,Assumptions!$C$94:$M$94,Assumptions!$C$98:$M$98))))</f>
        <v>-729.3568582</v>
      </c>
      <c r="DI28" s="54">
        <f t="array" ref="DI28">-(IF(DI$2=1,Assumptions!$H29/12,-(SUMIF($D$2:$EE$2,DI$2-1,$D28:$EE28)/12)*(1+XLOOKUP(DI$2,Assumptions!$C$94:$M$94,Assumptions!$C$98:$M$98))))</f>
        <v>-729.3568582</v>
      </c>
      <c r="DJ28" s="54">
        <f t="array" ref="DJ28">-(IF(DJ$2=1,Assumptions!$H29/12,-(SUMIF($D$2:$EE$2,DJ$2-1,$D28:$EE28)/12)*(1+XLOOKUP(DJ$2,Assumptions!$C$94:$M$94,Assumptions!$C$98:$M$98))))</f>
        <v>-729.3568582</v>
      </c>
      <c r="DK28" s="54">
        <f t="array" ref="DK28">-(IF(DK$2=1,Assumptions!$H29/12,-(SUMIF($D$2:$EE$2,DK$2-1,$D28:$EE28)/12)*(1+XLOOKUP(DK$2,Assumptions!$C$94:$M$94,Assumptions!$C$98:$M$98))))</f>
        <v>-729.3568582</v>
      </c>
      <c r="DL28" s="54">
        <f t="array" ref="DL28">-(IF(DL$2=1,Assumptions!$H29/12,-(SUMIF($D$2:$EE$2,DL$2-1,$D28:$EE28)/12)*(1+XLOOKUP(DL$2,Assumptions!$C$94:$M$94,Assumptions!$C$98:$M$98))))</f>
        <v>-729.3568582</v>
      </c>
      <c r="DM28" s="54">
        <f t="array" ref="DM28">-(IF(DM$2=1,Assumptions!$H29/12,-(SUMIF($D$2:$EE$2,DM$2-1,$D28:$EE28)/12)*(1+XLOOKUP(DM$2,Assumptions!$C$94:$M$94,Assumptions!$C$98:$M$98))))</f>
        <v>-729.3568582</v>
      </c>
      <c r="DN28" s="54">
        <f t="array" ref="DN28">-(IF(DN$2=1,Assumptions!$H29/12,-(SUMIF($D$2:$EE$2,DN$2-1,$D28:$EE28)/12)*(1+XLOOKUP(DN$2,Assumptions!$C$94:$M$94,Assumptions!$C$98:$M$98))))</f>
        <v>-729.3568582</v>
      </c>
      <c r="DO28" s="54">
        <f t="array" ref="DO28">-(IF(DO$2=1,Assumptions!$H29/12,-(SUMIF($D$2:$EE$2,DO$2-1,$D28:$EE28)/12)*(1+XLOOKUP(DO$2,Assumptions!$C$94:$M$94,Assumptions!$C$98:$M$98))))</f>
        <v>-729.3568582</v>
      </c>
      <c r="DP28" s="54">
        <f t="array" ref="DP28">-(IF(DP$2=1,Assumptions!$H29/12,-(SUMIF($D$2:$EE$2,DP$2-1,$D28:$EE28)/12)*(1+XLOOKUP(DP$2,Assumptions!$C$94:$M$94,Assumptions!$C$98:$M$98))))</f>
        <v>-729.3568582</v>
      </c>
      <c r="DQ28" s="54">
        <f t="array" ref="DQ28">-(IF(DQ$2=1,Assumptions!$H29/12,-(SUMIF($D$2:$EE$2,DQ$2-1,$D28:$EE28)/12)*(1+XLOOKUP(DQ$2,Assumptions!$C$94:$M$94,Assumptions!$C$98:$M$98))))</f>
        <v>-729.3568582</v>
      </c>
      <c r="DR28" s="54">
        <f t="array" ref="DR28">-(IF(DR$2=1,Assumptions!$H29/12,-(SUMIF($D$2:$EE$2,DR$2-1,$D28:$EE28)/12)*(1+XLOOKUP(DR$2,Assumptions!$C$94:$M$94,Assumptions!$C$98:$M$98))))</f>
        <v>-729.3568582</v>
      </c>
      <c r="DS28" s="54">
        <f t="array" ref="DS28">-(IF(DS$2=1,Assumptions!$H29/12,-(SUMIF($D$2:$EE$2,DS$2-1,$D28:$EE28)/12)*(1+XLOOKUP(DS$2,Assumptions!$C$94:$M$94,Assumptions!$C$98:$M$98))))</f>
        <v>-729.3568582</v>
      </c>
      <c r="DT28" s="54">
        <f t="array" ref="DT28">-(IF(DT$2=1,Assumptions!$H29/12,-(SUMIF($D$2:$EE$2,DT$2-1,$D28:$EE28)/12)*(1+XLOOKUP(DT$2,Assumptions!$C$94:$M$94,Assumptions!$C$98:$M$98))))</f>
        <v>-751.237564</v>
      </c>
      <c r="DU28" s="54">
        <f t="array" ref="DU28">-(IF(DU$2=1,Assumptions!$H29/12,-(SUMIF($D$2:$EE$2,DU$2-1,$D28:$EE28)/12)*(1+XLOOKUP(DU$2,Assumptions!$C$94:$M$94,Assumptions!$C$98:$M$98))))</f>
        <v>-751.237564</v>
      </c>
      <c r="DV28" s="54">
        <f t="array" ref="DV28">-(IF(DV$2=1,Assumptions!$H29/12,-(SUMIF($D$2:$EE$2,DV$2-1,$D28:$EE28)/12)*(1+XLOOKUP(DV$2,Assumptions!$C$94:$M$94,Assumptions!$C$98:$M$98))))</f>
        <v>-751.237564</v>
      </c>
      <c r="DW28" s="54">
        <f t="array" ref="DW28">-(IF(DW$2=1,Assumptions!$H29/12,-(SUMIF($D$2:$EE$2,DW$2-1,$D28:$EE28)/12)*(1+XLOOKUP(DW$2,Assumptions!$C$94:$M$94,Assumptions!$C$98:$M$98))))</f>
        <v>-751.237564</v>
      </c>
      <c r="DX28" s="54">
        <f t="array" ref="DX28">-(IF(DX$2=1,Assumptions!$H29/12,-(SUMIF($D$2:$EE$2,DX$2-1,$D28:$EE28)/12)*(1+XLOOKUP(DX$2,Assumptions!$C$94:$M$94,Assumptions!$C$98:$M$98))))</f>
        <v>-751.237564</v>
      </c>
      <c r="DY28" s="54">
        <f t="array" ref="DY28">-(IF(DY$2=1,Assumptions!$H29/12,-(SUMIF($D$2:$EE$2,DY$2-1,$D28:$EE28)/12)*(1+XLOOKUP(DY$2,Assumptions!$C$94:$M$94,Assumptions!$C$98:$M$98))))</f>
        <v>-751.237564</v>
      </c>
      <c r="DZ28" s="54">
        <f t="array" ref="DZ28">-(IF(DZ$2=1,Assumptions!$H29/12,-(SUMIF($D$2:$EE$2,DZ$2-1,$D28:$EE28)/12)*(1+XLOOKUP(DZ$2,Assumptions!$C$94:$M$94,Assumptions!$C$98:$M$98))))</f>
        <v>-751.237564</v>
      </c>
      <c r="EA28" s="54">
        <f t="array" ref="EA28">-(IF(EA$2=1,Assumptions!$H29/12,-(SUMIF($D$2:$EE$2,EA$2-1,$D28:$EE28)/12)*(1+XLOOKUP(EA$2,Assumptions!$C$94:$M$94,Assumptions!$C$98:$M$98))))</f>
        <v>-751.237564</v>
      </c>
      <c r="EB28" s="54">
        <f t="array" ref="EB28">-(IF(EB$2=1,Assumptions!$H29/12,-(SUMIF($D$2:$EE$2,EB$2-1,$D28:$EE28)/12)*(1+XLOOKUP(EB$2,Assumptions!$C$94:$M$94,Assumptions!$C$98:$M$98))))</f>
        <v>-751.237564</v>
      </c>
      <c r="EC28" s="54">
        <f t="array" ref="EC28">-(IF(EC$2=1,Assumptions!$H29/12,-(SUMIF($D$2:$EE$2,EC$2-1,$D28:$EE28)/12)*(1+XLOOKUP(EC$2,Assumptions!$C$94:$M$94,Assumptions!$C$98:$M$98))))</f>
        <v>-751.237564</v>
      </c>
      <c r="ED28" s="54">
        <f t="array" ref="ED28">-(IF(ED$2=1,Assumptions!$H29/12,-(SUMIF($D$2:$EE$2,ED$2-1,$D28:$EE28)/12)*(1+XLOOKUP(ED$2,Assumptions!$C$94:$M$94,Assumptions!$C$98:$M$98))))</f>
        <v>-751.237564</v>
      </c>
      <c r="EE28" s="54">
        <f t="array" ref="EE28">-(IF(EE$2=1,Assumptions!$H29/12,-(SUMIF($D$2:$EE$2,EE$2-1,$D28:$EE28)/12)*(1+XLOOKUP(EE$2,Assumptions!$C$94:$M$94,Assumptions!$C$98:$M$98))))</f>
        <v>-751.237564</v>
      </c>
    </row>
    <row r="29" ht="15.75" customHeight="1">
      <c r="A29" s="1"/>
      <c r="B29" s="1"/>
      <c r="C29" s="1" t="str">
        <f>Assumptions!B30</f>
        <v>Management Fee</v>
      </c>
      <c r="D29" s="54">
        <f>-D$18*Assumptions!$F$30</f>
        <v>-1480.040232</v>
      </c>
      <c r="E29" s="54">
        <f>-E$18*Assumptions!$F$30</f>
        <v>-1480.040232</v>
      </c>
      <c r="F29" s="54">
        <f>-F$18*Assumptions!$F$30</f>
        <v>-1480.040232</v>
      </c>
      <c r="G29" s="54">
        <f>-G$18*Assumptions!$F$30</f>
        <v>-1480.040232</v>
      </c>
      <c r="H29" s="54">
        <f>-H$18*Assumptions!$F$30</f>
        <v>-1480.040232</v>
      </c>
      <c r="I29" s="54">
        <f>-I$18*Assumptions!$F$30</f>
        <v>-1480.040232</v>
      </c>
      <c r="J29" s="54">
        <f>-J$18*Assumptions!$F$30</f>
        <v>-1480.040232</v>
      </c>
      <c r="K29" s="54">
        <f>-K$18*Assumptions!$F$30</f>
        <v>-1480.040232</v>
      </c>
      <c r="L29" s="54">
        <f>-L$18*Assumptions!$F$30</f>
        <v>-1480.040232</v>
      </c>
      <c r="M29" s="54">
        <f>-M$18*Assumptions!$F$30</f>
        <v>-1480.040232</v>
      </c>
      <c r="N29" s="54">
        <f>-N$18*Assumptions!$F$30</f>
        <v>-1480.040232</v>
      </c>
      <c r="O29" s="54">
        <f>-O$18*Assumptions!$F$30</f>
        <v>-1480.040232</v>
      </c>
      <c r="P29" s="54">
        <f>-P$18*Assumptions!$F$30</f>
        <v>-1573.61697</v>
      </c>
      <c r="Q29" s="54">
        <f>-Q$18*Assumptions!$F$30</f>
        <v>-1573.61697</v>
      </c>
      <c r="R29" s="54">
        <f>-R$18*Assumptions!$F$30</f>
        <v>-1573.61697</v>
      </c>
      <c r="S29" s="54">
        <f>-S$18*Assumptions!$F$30</f>
        <v>-1573.61697</v>
      </c>
      <c r="T29" s="54">
        <f>-T$18*Assumptions!$F$30</f>
        <v>-1573.61697</v>
      </c>
      <c r="U29" s="54">
        <f>-U$18*Assumptions!$F$30</f>
        <v>-1573.61697</v>
      </c>
      <c r="V29" s="54">
        <f>-V$18*Assumptions!$F$30</f>
        <v>-1573.61697</v>
      </c>
      <c r="W29" s="54">
        <f>-W$18*Assumptions!$F$30</f>
        <v>-1573.61697</v>
      </c>
      <c r="X29" s="54">
        <f>-X$18*Assumptions!$F$30</f>
        <v>-1573.61697</v>
      </c>
      <c r="Y29" s="54">
        <f>-Y$18*Assumptions!$F$30</f>
        <v>-1573.61697</v>
      </c>
      <c r="Z29" s="54">
        <f>-Z$18*Assumptions!$F$30</f>
        <v>-1573.61697</v>
      </c>
      <c r="AA29" s="54">
        <f>-AA$18*Assumptions!$F$30</f>
        <v>-1573.61697</v>
      </c>
      <c r="AB29" s="54">
        <f>-AB$18*Assumptions!$F$30</f>
        <v>-1620.825479</v>
      </c>
      <c r="AC29" s="54">
        <f>-AC$18*Assumptions!$F$30</f>
        <v>-1620.825479</v>
      </c>
      <c r="AD29" s="54">
        <f>-AD$18*Assumptions!$F$30</f>
        <v>-1620.825479</v>
      </c>
      <c r="AE29" s="54">
        <f>-AE$18*Assumptions!$F$30</f>
        <v>-1620.825479</v>
      </c>
      <c r="AF29" s="54">
        <f>-AF$18*Assumptions!$F$30</f>
        <v>-1620.825479</v>
      </c>
      <c r="AG29" s="54">
        <f>-AG$18*Assumptions!$F$30</f>
        <v>-1620.825479</v>
      </c>
      <c r="AH29" s="54">
        <f>-AH$18*Assumptions!$F$30</f>
        <v>-1620.825479</v>
      </c>
      <c r="AI29" s="54">
        <f>-AI$18*Assumptions!$F$30</f>
        <v>-1620.825479</v>
      </c>
      <c r="AJ29" s="54">
        <f>-AJ$18*Assumptions!$F$30</f>
        <v>-1620.825479</v>
      </c>
      <c r="AK29" s="54">
        <f>-AK$18*Assumptions!$F$30</f>
        <v>-1620.825479</v>
      </c>
      <c r="AL29" s="54">
        <f>-AL$18*Assumptions!$F$30</f>
        <v>-1620.825479</v>
      </c>
      <c r="AM29" s="54">
        <f>-AM$18*Assumptions!$F$30</f>
        <v>-1620.825479</v>
      </c>
      <c r="AN29" s="54">
        <f>-AN$18*Assumptions!$F$30</f>
        <v>-1669.450243</v>
      </c>
      <c r="AO29" s="54">
        <f>-AO$18*Assumptions!$F$30</f>
        <v>-1669.450243</v>
      </c>
      <c r="AP29" s="54">
        <f>-AP$18*Assumptions!$F$30</f>
        <v>-1669.450243</v>
      </c>
      <c r="AQ29" s="54">
        <f>-AQ$18*Assumptions!$F$30</f>
        <v>-1669.450243</v>
      </c>
      <c r="AR29" s="54">
        <f>-AR$18*Assumptions!$F$30</f>
        <v>-1669.450243</v>
      </c>
      <c r="AS29" s="54">
        <f>-AS$18*Assumptions!$F$30</f>
        <v>-1669.450243</v>
      </c>
      <c r="AT29" s="54">
        <f>-AT$18*Assumptions!$F$30</f>
        <v>-1669.450243</v>
      </c>
      <c r="AU29" s="54">
        <f>-AU$18*Assumptions!$F$30</f>
        <v>-1669.450243</v>
      </c>
      <c r="AV29" s="54">
        <f>-AV$18*Assumptions!$F$30</f>
        <v>-1669.450243</v>
      </c>
      <c r="AW29" s="54">
        <f>-AW$18*Assumptions!$F$30</f>
        <v>-1669.450243</v>
      </c>
      <c r="AX29" s="54">
        <f>-AX$18*Assumptions!$F$30</f>
        <v>-1669.450243</v>
      </c>
      <c r="AY29" s="54">
        <f>-AY$18*Assumptions!$F$30</f>
        <v>-1669.450243</v>
      </c>
      <c r="AZ29" s="54">
        <f>-AZ$18*Assumptions!$F$30</f>
        <v>-1719.53375</v>
      </c>
      <c r="BA29" s="54">
        <f>-BA$18*Assumptions!$F$30</f>
        <v>-1719.53375</v>
      </c>
      <c r="BB29" s="54">
        <f>-BB$18*Assumptions!$F$30</f>
        <v>-1719.53375</v>
      </c>
      <c r="BC29" s="54">
        <f>-BC$18*Assumptions!$F$30</f>
        <v>-1719.53375</v>
      </c>
      <c r="BD29" s="54">
        <f>-BD$18*Assumptions!$F$30</f>
        <v>-1719.53375</v>
      </c>
      <c r="BE29" s="54">
        <f>-BE$18*Assumptions!$F$30</f>
        <v>-1719.53375</v>
      </c>
      <c r="BF29" s="54">
        <f>-BF$18*Assumptions!$F$30</f>
        <v>-1719.53375</v>
      </c>
      <c r="BG29" s="54">
        <f>-BG$18*Assumptions!$F$30</f>
        <v>-1719.53375</v>
      </c>
      <c r="BH29" s="54">
        <f>-BH$18*Assumptions!$F$30</f>
        <v>-1719.53375</v>
      </c>
      <c r="BI29" s="54">
        <f>-BI$18*Assumptions!$F$30</f>
        <v>-1719.53375</v>
      </c>
      <c r="BJ29" s="54">
        <f>-BJ$18*Assumptions!$F$30</f>
        <v>-1719.53375</v>
      </c>
      <c r="BK29" s="54">
        <f>-BK$18*Assumptions!$F$30</f>
        <v>-1719.53375</v>
      </c>
      <c r="BL29" s="54">
        <f>-BL$18*Assumptions!$F$30</f>
        <v>-1771.119763</v>
      </c>
      <c r="BM29" s="54">
        <f>-BM$18*Assumptions!$F$30</f>
        <v>-1771.119763</v>
      </c>
      <c r="BN29" s="54">
        <f>-BN$18*Assumptions!$F$30</f>
        <v>-1771.119763</v>
      </c>
      <c r="BO29" s="54">
        <f>-BO$18*Assumptions!$F$30</f>
        <v>-1771.119763</v>
      </c>
      <c r="BP29" s="54">
        <f>-BP$18*Assumptions!$F$30</f>
        <v>-1771.119763</v>
      </c>
      <c r="BQ29" s="54">
        <f>-BQ$18*Assumptions!$F$30</f>
        <v>-1771.119763</v>
      </c>
      <c r="BR29" s="54">
        <f>-BR$18*Assumptions!$F$30</f>
        <v>-1771.119763</v>
      </c>
      <c r="BS29" s="54">
        <f>-BS$18*Assumptions!$F$30</f>
        <v>-1771.119763</v>
      </c>
      <c r="BT29" s="54">
        <f>-BT$18*Assumptions!$F$30</f>
        <v>-1771.119763</v>
      </c>
      <c r="BU29" s="54">
        <f>-BU$18*Assumptions!$F$30</f>
        <v>-1771.119763</v>
      </c>
      <c r="BV29" s="54">
        <f>-BV$18*Assumptions!$F$30</f>
        <v>-1771.119763</v>
      </c>
      <c r="BW29" s="54">
        <f>-BW$18*Assumptions!$F$30</f>
        <v>-1771.119763</v>
      </c>
      <c r="BX29" s="54">
        <f>-BX$18*Assumptions!$F$30</f>
        <v>-1824.253356</v>
      </c>
      <c r="BY29" s="54">
        <f>-BY$18*Assumptions!$F$30</f>
        <v>-1824.253356</v>
      </c>
      <c r="BZ29" s="54">
        <f>-BZ$18*Assumptions!$F$30</f>
        <v>-1824.253356</v>
      </c>
      <c r="CA29" s="54">
        <f>-CA$18*Assumptions!$F$30</f>
        <v>-1824.253356</v>
      </c>
      <c r="CB29" s="54">
        <f>-CB$18*Assumptions!$F$30</f>
        <v>-1824.253356</v>
      </c>
      <c r="CC29" s="54">
        <f>-CC$18*Assumptions!$F$30</f>
        <v>-1824.253356</v>
      </c>
      <c r="CD29" s="54">
        <f>-CD$18*Assumptions!$F$30</f>
        <v>-1824.253356</v>
      </c>
      <c r="CE29" s="54">
        <f>-CE$18*Assumptions!$F$30</f>
        <v>-1824.253356</v>
      </c>
      <c r="CF29" s="54">
        <f>-CF$18*Assumptions!$F$30</f>
        <v>-1824.253356</v>
      </c>
      <c r="CG29" s="54">
        <f>-CG$18*Assumptions!$F$30</f>
        <v>-1824.253356</v>
      </c>
      <c r="CH29" s="54">
        <f>-CH$18*Assumptions!$F$30</f>
        <v>-1824.253356</v>
      </c>
      <c r="CI29" s="54">
        <f>-CI$18*Assumptions!$F$30</f>
        <v>-1824.253356</v>
      </c>
      <c r="CJ29" s="54">
        <f>-CJ$18*Assumptions!$F$30</f>
        <v>-1878.980956</v>
      </c>
      <c r="CK29" s="54">
        <f>-CK$18*Assumptions!$F$30</f>
        <v>-1878.980956</v>
      </c>
      <c r="CL29" s="54">
        <f>-CL$18*Assumptions!$F$30</f>
        <v>-1878.980956</v>
      </c>
      <c r="CM29" s="54">
        <f>-CM$18*Assumptions!$F$30</f>
        <v>-1878.980956</v>
      </c>
      <c r="CN29" s="54">
        <f>-CN$18*Assumptions!$F$30</f>
        <v>-1878.980956</v>
      </c>
      <c r="CO29" s="54">
        <f>-CO$18*Assumptions!$F$30</f>
        <v>-1878.980956</v>
      </c>
      <c r="CP29" s="54">
        <f>-CP$18*Assumptions!$F$30</f>
        <v>-1878.980956</v>
      </c>
      <c r="CQ29" s="54">
        <f>-CQ$18*Assumptions!$F$30</f>
        <v>-1878.980956</v>
      </c>
      <c r="CR29" s="54">
        <f>-CR$18*Assumptions!$F$30</f>
        <v>-1878.980956</v>
      </c>
      <c r="CS29" s="54">
        <f>-CS$18*Assumptions!$F$30</f>
        <v>-1878.980956</v>
      </c>
      <c r="CT29" s="54">
        <f>-CT$18*Assumptions!$F$30</f>
        <v>-1878.980956</v>
      </c>
      <c r="CU29" s="54">
        <f>-CU$18*Assumptions!$F$30</f>
        <v>-1878.980956</v>
      </c>
      <c r="CV29" s="54">
        <f>-CV$18*Assumptions!$F$30</f>
        <v>-1935.350385</v>
      </c>
      <c r="CW29" s="54">
        <f>-CW$18*Assumptions!$F$30</f>
        <v>-1935.350385</v>
      </c>
      <c r="CX29" s="54">
        <f>-CX$18*Assumptions!$F$30</f>
        <v>-1935.350385</v>
      </c>
      <c r="CY29" s="54">
        <f>-CY$18*Assumptions!$F$30</f>
        <v>-1935.350385</v>
      </c>
      <c r="CZ29" s="54">
        <f>-CZ$18*Assumptions!$F$30</f>
        <v>-1935.350385</v>
      </c>
      <c r="DA29" s="54">
        <f>-DA$18*Assumptions!$F$30</f>
        <v>-1935.350385</v>
      </c>
      <c r="DB29" s="54">
        <f>-DB$18*Assumptions!$F$30</f>
        <v>-1935.350385</v>
      </c>
      <c r="DC29" s="54">
        <f>-DC$18*Assumptions!$F$30</f>
        <v>-1935.350385</v>
      </c>
      <c r="DD29" s="54">
        <f>-DD$18*Assumptions!$F$30</f>
        <v>-1935.350385</v>
      </c>
      <c r="DE29" s="54">
        <f>-DE$18*Assumptions!$F$30</f>
        <v>-1935.350385</v>
      </c>
      <c r="DF29" s="54">
        <f>-DF$18*Assumptions!$F$30</f>
        <v>-1935.350385</v>
      </c>
      <c r="DG29" s="54">
        <f>-DG$18*Assumptions!$F$30</f>
        <v>-1935.350385</v>
      </c>
      <c r="DH29" s="54">
        <f>-DH$18*Assumptions!$F$30</f>
        <v>-1993.410897</v>
      </c>
      <c r="DI29" s="54">
        <f>-DI$18*Assumptions!$F$30</f>
        <v>-1993.410897</v>
      </c>
      <c r="DJ29" s="54">
        <f>-DJ$18*Assumptions!$F$30</f>
        <v>-1993.410897</v>
      </c>
      <c r="DK29" s="54">
        <f>-DK$18*Assumptions!$F$30</f>
        <v>-1993.410897</v>
      </c>
      <c r="DL29" s="54">
        <f>-DL$18*Assumptions!$F$30</f>
        <v>-1993.410897</v>
      </c>
      <c r="DM29" s="54">
        <f>-DM$18*Assumptions!$F$30</f>
        <v>-1993.410897</v>
      </c>
      <c r="DN29" s="54">
        <f>-DN$18*Assumptions!$F$30</f>
        <v>-1993.410897</v>
      </c>
      <c r="DO29" s="54">
        <f>-DO$18*Assumptions!$F$30</f>
        <v>-1993.410897</v>
      </c>
      <c r="DP29" s="54">
        <f>-DP$18*Assumptions!$F$30</f>
        <v>-1993.410897</v>
      </c>
      <c r="DQ29" s="54">
        <f>-DQ$18*Assumptions!$F$30</f>
        <v>-1993.410897</v>
      </c>
      <c r="DR29" s="54">
        <f>-DR$18*Assumptions!$F$30</f>
        <v>-1993.410897</v>
      </c>
      <c r="DS29" s="54">
        <f>-DS$18*Assumptions!$F$30</f>
        <v>-1993.410897</v>
      </c>
      <c r="DT29" s="54">
        <f>-DT$18*Assumptions!$F$30</f>
        <v>-1989.05031</v>
      </c>
      <c r="DU29" s="54">
        <f>-DU$18*Assumptions!$F$30</f>
        <v>-1989.05031</v>
      </c>
      <c r="DV29" s="54">
        <f>-DV$18*Assumptions!$F$30</f>
        <v>-1989.05031</v>
      </c>
      <c r="DW29" s="54">
        <f>-DW$18*Assumptions!$F$30</f>
        <v>-1989.05031</v>
      </c>
      <c r="DX29" s="54">
        <f>-DX$18*Assumptions!$F$30</f>
        <v>-1989.05031</v>
      </c>
      <c r="DY29" s="54">
        <f>-DY$18*Assumptions!$F$30</f>
        <v>-1989.05031</v>
      </c>
      <c r="DZ29" s="54">
        <f>-DZ$18*Assumptions!$F$30</f>
        <v>-1989.05031</v>
      </c>
      <c r="EA29" s="54">
        <f>-EA$18*Assumptions!$F$30</f>
        <v>-1989.05031</v>
      </c>
      <c r="EB29" s="54">
        <f>-EB$18*Assumptions!$F$30</f>
        <v>-1989.05031</v>
      </c>
      <c r="EC29" s="54">
        <f>-EC$18*Assumptions!$F$30</f>
        <v>-1989.05031</v>
      </c>
      <c r="ED29" s="54">
        <f>-ED$18*Assumptions!$F$30</f>
        <v>-1989.05031</v>
      </c>
      <c r="EE29" s="54">
        <f>-EE$18*Assumptions!$F$30</f>
        <v>-1989.05031</v>
      </c>
    </row>
    <row r="30" ht="15.75" customHeight="1">
      <c r="A30" s="1"/>
      <c r="B30" s="1"/>
      <c r="C30" s="1" t="str">
        <f>Assumptions!B31</f>
        <v>Contract Services</v>
      </c>
      <c r="D30" s="54">
        <f t="array" ref="D30">-(IF(D$2=1,Assumptions!$H31/12,-(SUMIF($D$2:$EE$2,D$2-1,$D30:$EE30)/12)*(1+XLOOKUP(D$2,Assumptions!$C$94:$M$94,Assumptions!$C$98:$M$98))))</f>
        <v>-944.4851083</v>
      </c>
      <c r="E30" s="54">
        <f t="array" ref="E30">-(IF(E$2=1,Assumptions!$H31/12,-(SUMIF($D$2:$EE$2,E$2-1,$D30:$EE30)/12)*(1+XLOOKUP(E$2,Assumptions!$C$94:$M$94,Assumptions!$C$98:$M$98))))</f>
        <v>-944.4851083</v>
      </c>
      <c r="F30" s="54">
        <f t="array" ref="F30">-(IF(F$2=1,Assumptions!$H31/12,-(SUMIF($D$2:$EE$2,F$2-1,$D30:$EE30)/12)*(1+XLOOKUP(F$2,Assumptions!$C$94:$M$94,Assumptions!$C$98:$M$98))))</f>
        <v>-944.4851083</v>
      </c>
      <c r="G30" s="54">
        <f t="array" ref="G30">-(IF(G$2=1,Assumptions!$H31/12,-(SUMIF($D$2:$EE$2,G$2-1,$D30:$EE30)/12)*(1+XLOOKUP(G$2,Assumptions!$C$94:$M$94,Assumptions!$C$98:$M$98))))</f>
        <v>-944.4851083</v>
      </c>
      <c r="H30" s="54">
        <f t="array" ref="H30">-(IF(H$2=1,Assumptions!$H31/12,-(SUMIF($D$2:$EE$2,H$2-1,$D30:$EE30)/12)*(1+XLOOKUP(H$2,Assumptions!$C$94:$M$94,Assumptions!$C$98:$M$98))))</f>
        <v>-944.4851083</v>
      </c>
      <c r="I30" s="54">
        <f t="array" ref="I30">-(IF(I$2=1,Assumptions!$H31/12,-(SUMIF($D$2:$EE$2,I$2-1,$D30:$EE30)/12)*(1+XLOOKUP(I$2,Assumptions!$C$94:$M$94,Assumptions!$C$98:$M$98))))</f>
        <v>-944.4851083</v>
      </c>
      <c r="J30" s="54">
        <f t="array" ref="J30">-(IF(J$2=1,Assumptions!$H31/12,-(SUMIF($D$2:$EE$2,J$2-1,$D30:$EE30)/12)*(1+XLOOKUP(J$2,Assumptions!$C$94:$M$94,Assumptions!$C$98:$M$98))))</f>
        <v>-944.4851083</v>
      </c>
      <c r="K30" s="54">
        <f t="array" ref="K30">-(IF(K$2=1,Assumptions!$H31/12,-(SUMIF($D$2:$EE$2,K$2-1,$D30:$EE30)/12)*(1+XLOOKUP(K$2,Assumptions!$C$94:$M$94,Assumptions!$C$98:$M$98))))</f>
        <v>-944.4851083</v>
      </c>
      <c r="L30" s="54">
        <f t="array" ref="L30">-(IF(L$2=1,Assumptions!$H31/12,-(SUMIF($D$2:$EE$2,L$2-1,$D30:$EE30)/12)*(1+XLOOKUP(L$2,Assumptions!$C$94:$M$94,Assumptions!$C$98:$M$98))))</f>
        <v>-944.4851083</v>
      </c>
      <c r="M30" s="54">
        <f t="array" ref="M30">-(IF(M$2=1,Assumptions!$H31/12,-(SUMIF($D$2:$EE$2,M$2-1,$D30:$EE30)/12)*(1+XLOOKUP(M$2,Assumptions!$C$94:$M$94,Assumptions!$C$98:$M$98))))</f>
        <v>-944.4851083</v>
      </c>
      <c r="N30" s="54">
        <f t="array" ref="N30">-(IF(N$2=1,Assumptions!$H31/12,-(SUMIF($D$2:$EE$2,N$2-1,$D30:$EE30)/12)*(1+XLOOKUP(N$2,Assumptions!$C$94:$M$94,Assumptions!$C$98:$M$98))))</f>
        <v>-944.4851083</v>
      </c>
      <c r="O30" s="54">
        <f t="array" ref="O30">-(IF(O$2=1,Assumptions!$H31/12,-(SUMIF($D$2:$EE$2,O$2-1,$D30:$EE30)/12)*(1+XLOOKUP(O$2,Assumptions!$C$94:$M$94,Assumptions!$C$98:$M$98))))</f>
        <v>-944.4851083</v>
      </c>
      <c r="P30" s="54">
        <f t="array" ref="P30">-(IF(P$2=1,Assumptions!$H31/12,-(SUMIF($D$2:$EE$2,P$2-1,$D30:$EE30)/12)*(1+XLOOKUP(P$2,Assumptions!$C$94:$M$94,Assumptions!$C$98:$M$98))))</f>
        <v>-972.8196616</v>
      </c>
      <c r="Q30" s="54">
        <f t="array" ref="Q30">-(IF(Q$2=1,Assumptions!$H31/12,-(SUMIF($D$2:$EE$2,Q$2-1,$D30:$EE30)/12)*(1+XLOOKUP(Q$2,Assumptions!$C$94:$M$94,Assumptions!$C$98:$M$98))))</f>
        <v>-972.8196616</v>
      </c>
      <c r="R30" s="54">
        <f t="array" ref="R30">-(IF(R$2=1,Assumptions!$H31/12,-(SUMIF($D$2:$EE$2,R$2-1,$D30:$EE30)/12)*(1+XLOOKUP(R$2,Assumptions!$C$94:$M$94,Assumptions!$C$98:$M$98))))</f>
        <v>-972.8196616</v>
      </c>
      <c r="S30" s="54">
        <f t="array" ref="S30">-(IF(S$2=1,Assumptions!$H31/12,-(SUMIF($D$2:$EE$2,S$2-1,$D30:$EE30)/12)*(1+XLOOKUP(S$2,Assumptions!$C$94:$M$94,Assumptions!$C$98:$M$98))))</f>
        <v>-972.8196616</v>
      </c>
      <c r="T30" s="54">
        <f t="array" ref="T30">-(IF(T$2=1,Assumptions!$H31/12,-(SUMIF($D$2:$EE$2,T$2-1,$D30:$EE30)/12)*(1+XLOOKUP(T$2,Assumptions!$C$94:$M$94,Assumptions!$C$98:$M$98))))</f>
        <v>-972.8196616</v>
      </c>
      <c r="U30" s="54">
        <f t="array" ref="U30">-(IF(U$2=1,Assumptions!$H31/12,-(SUMIF($D$2:$EE$2,U$2-1,$D30:$EE30)/12)*(1+XLOOKUP(U$2,Assumptions!$C$94:$M$94,Assumptions!$C$98:$M$98))))</f>
        <v>-972.8196616</v>
      </c>
      <c r="V30" s="54">
        <f t="array" ref="V30">-(IF(V$2=1,Assumptions!$H31/12,-(SUMIF($D$2:$EE$2,V$2-1,$D30:$EE30)/12)*(1+XLOOKUP(V$2,Assumptions!$C$94:$M$94,Assumptions!$C$98:$M$98))))</f>
        <v>-972.8196616</v>
      </c>
      <c r="W30" s="54">
        <f t="array" ref="W30">-(IF(W$2=1,Assumptions!$H31/12,-(SUMIF($D$2:$EE$2,W$2-1,$D30:$EE30)/12)*(1+XLOOKUP(W$2,Assumptions!$C$94:$M$94,Assumptions!$C$98:$M$98))))</f>
        <v>-972.8196616</v>
      </c>
      <c r="X30" s="54">
        <f t="array" ref="X30">-(IF(X$2=1,Assumptions!$H31/12,-(SUMIF($D$2:$EE$2,X$2-1,$D30:$EE30)/12)*(1+XLOOKUP(X$2,Assumptions!$C$94:$M$94,Assumptions!$C$98:$M$98))))</f>
        <v>-972.8196616</v>
      </c>
      <c r="Y30" s="54">
        <f t="array" ref="Y30">-(IF(Y$2=1,Assumptions!$H31/12,-(SUMIF($D$2:$EE$2,Y$2-1,$D30:$EE30)/12)*(1+XLOOKUP(Y$2,Assumptions!$C$94:$M$94,Assumptions!$C$98:$M$98))))</f>
        <v>-972.8196616</v>
      </c>
      <c r="Z30" s="54">
        <f t="array" ref="Z30">-(IF(Z$2=1,Assumptions!$H31/12,-(SUMIF($D$2:$EE$2,Z$2-1,$D30:$EE30)/12)*(1+XLOOKUP(Z$2,Assumptions!$C$94:$M$94,Assumptions!$C$98:$M$98))))</f>
        <v>-972.8196616</v>
      </c>
      <c r="AA30" s="54">
        <f t="array" ref="AA30">-(IF(AA$2=1,Assumptions!$H31/12,-(SUMIF($D$2:$EE$2,AA$2-1,$D30:$EE30)/12)*(1+XLOOKUP(AA$2,Assumptions!$C$94:$M$94,Assumptions!$C$98:$M$98))))</f>
        <v>-972.8196616</v>
      </c>
      <c r="AB30" s="54">
        <f t="array" ref="AB30">-(IF(AB$2=1,Assumptions!$H31/12,-(SUMIF($D$2:$EE$2,AB$2-1,$D30:$EE30)/12)*(1+XLOOKUP(AB$2,Assumptions!$C$94:$M$94,Assumptions!$C$98:$M$98))))</f>
        <v>-1002.004251</v>
      </c>
      <c r="AC30" s="54">
        <f t="array" ref="AC30">-(IF(AC$2=1,Assumptions!$H31/12,-(SUMIF($D$2:$EE$2,AC$2-1,$D30:$EE30)/12)*(1+XLOOKUP(AC$2,Assumptions!$C$94:$M$94,Assumptions!$C$98:$M$98))))</f>
        <v>-1002.004251</v>
      </c>
      <c r="AD30" s="54">
        <f t="array" ref="AD30">-(IF(AD$2=1,Assumptions!$H31/12,-(SUMIF($D$2:$EE$2,AD$2-1,$D30:$EE30)/12)*(1+XLOOKUP(AD$2,Assumptions!$C$94:$M$94,Assumptions!$C$98:$M$98))))</f>
        <v>-1002.004251</v>
      </c>
      <c r="AE30" s="54">
        <f t="array" ref="AE30">-(IF(AE$2=1,Assumptions!$H31/12,-(SUMIF($D$2:$EE$2,AE$2-1,$D30:$EE30)/12)*(1+XLOOKUP(AE$2,Assumptions!$C$94:$M$94,Assumptions!$C$98:$M$98))))</f>
        <v>-1002.004251</v>
      </c>
      <c r="AF30" s="54">
        <f t="array" ref="AF30">-(IF(AF$2=1,Assumptions!$H31/12,-(SUMIF($D$2:$EE$2,AF$2-1,$D30:$EE30)/12)*(1+XLOOKUP(AF$2,Assumptions!$C$94:$M$94,Assumptions!$C$98:$M$98))))</f>
        <v>-1002.004251</v>
      </c>
      <c r="AG30" s="54">
        <f t="array" ref="AG30">-(IF(AG$2=1,Assumptions!$H31/12,-(SUMIF($D$2:$EE$2,AG$2-1,$D30:$EE30)/12)*(1+XLOOKUP(AG$2,Assumptions!$C$94:$M$94,Assumptions!$C$98:$M$98))))</f>
        <v>-1002.004251</v>
      </c>
      <c r="AH30" s="54">
        <f t="array" ref="AH30">-(IF(AH$2=1,Assumptions!$H31/12,-(SUMIF($D$2:$EE$2,AH$2-1,$D30:$EE30)/12)*(1+XLOOKUP(AH$2,Assumptions!$C$94:$M$94,Assumptions!$C$98:$M$98))))</f>
        <v>-1002.004251</v>
      </c>
      <c r="AI30" s="54">
        <f t="array" ref="AI30">-(IF(AI$2=1,Assumptions!$H31/12,-(SUMIF($D$2:$EE$2,AI$2-1,$D30:$EE30)/12)*(1+XLOOKUP(AI$2,Assumptions!$C$94:$M$94,Assumptions!$C$98:$M$98))))</f>
        <v>-1002.004251</v>
      </c>
      <c r="AJ30" s="54">
        <f t="array" ref="AJ30">-(IF(AJ$2=1,Assumptions!$H31/12,-(SUMIF($D$2:$EE$2,AJ$2-1,$D30:$EE30)/12)*(1+XLOOKUP(AJ$2,Assumptions!$C$94:$M$94,Assumptions!$C$98:$M$98))))</f>
        <v>-1002.004251</v>
      </c>
      <c r="AK30" s="54">
        <f t="array" ref="AK30">-(IF(AK$2=1,Assumptions!$H31/12,-(SUMIF($D$2:$EE$2,AK$2-1,$D30:$EE30)/12)*(1+XLOOKUP(AK$2,Assumptions!$C$94:$M$94,Assumptions!$C$98:$M$98))))</f>
        <v>-1002.004251</v>
      </c>
      <c r="AL30" s="54">
        <f t="array" ref="AL30">-(IF(AL$2=1,Assumptions!$H31/12,-(SUMIF($D$2:$EE$2,AL$2-1,$D30:$EE30)/12)*(1+XLOOKUP(AL$2,Assumptions!$C$94:$M$94,Assumptions!$C$98:$M$98))))</f>
        <v>-1002.004251</v>
      </c>
      <c r="AM30" s="54">
        <f t="array" ref="AM30">-(IF(AM$2=1,Assumptions!$H31/12,-(SUMIF($D$2:$EE$2,AM$2-1,$D30:$EE30)/12)*(1+XLOOKUP(AM$2,Assumptions!$C$94:$M$94,Assumptions!$C$98:$M$98))))</f>
        <v>-1002.004251</v>
      </c>
      <c r="AN30" s="54">
        <f t="array" ref="AN30">-(IF(AN$2=1,Assumptions!$H31/12,-(SUMIF($D$2:$EE$2,AN$2-1,$D30:$EE30)/12)*(1+XLOOKUP(AN$2,Assumptions!$C$94:$M$94,Assumptions!$C$98:$M$98))))</f>
        <v>-1032.064379</v>
      </c>
      <c r="AO30" s="54">
        <f t="array" ref="AO30">-(IF(AO$2=1,Assumptions!$H31/12,-(SUMIF($D$2:$EE$2,AO$2-1,$D30:$EE30)/12)*(1+XLOOKUP(AO$2,Assumptions!$C$94:$M$94,Assumptions!$C$98:$M$98))))</f>
        <v>-1032.064379</v>
      </c>
      <c r="AP30" s="54">
        <f t="array" ref="AP30">-(IF(AP$2=1,Assumptions!$H31/12,-(SUMIF($D$2:$EE$2,AP$2-1,$D30:$EE30)/12)*(1+XLOOKUP(AP$2,Assumptions!$C$94:$M$94,Assumptions!$C$98:$M$98))))</f>
        <v>-1032.064379</v>
      </c>
      <c r="AQ30" s="54">
        <f t="array" ref="AQ30">-(IF(AQ$2=1,Assumptions!$H31/12,-(SUMIF($D$2:$EE$2,AQ$2-1,$D30:$EE30)/12)*(1+XLOOKUP(AQ$2,Assumptions!$C$94:$M$94,Assumptions!$C$98:$M$98))))</f>
        <v>-1032.064379</v>
      </c>
      <c r="AR30" s="54">
        <f t="array" ref="AR30">-(IF(AR$2=1,Assumptions!$H31/12,-(SUMIF($D$2:$EE$2,AR$2-1,$D30:$EE30)/12)*(1+XLOOKUP(AR$2,Assumptions!$C$94:$M$94,Assumptions!$C$98:$M$98))))</f>
        <v>-1032.064379</v>
      </c>
      <c r="AS30" s="54">
        <f t="array" ref="AS30">-(IF(AS$2=1,Assumptions!$H31/12,-(SUMIF($D$2:$EE$2,AS$2-1,$D30:$EE30)/12)*(1+XLOOKUP(AS$2,Assumptions!$C$94:$M$94,Assumptions!$C$98:$M$98))))</f>
        <v>-1032.064379</v>
      </c>
      <c r="AT30" s="54">
        <f t="array" ref="AT30">-(IF(AT$2=1,Assumptions!$H31/12,-(SUMIF($D$2:$EE$2,AT$2-1,$D30:$EE30)/12)*(1+XLOOKUP(AT$2,Assumptions!$C$94:$M$94,Assumptions!$C$98:$M$98))))</f>
        <v>-1032.064379</v>
      </c>
      <c r="AU30" s="54">
        <f t="array" ref="AU30">-(IF(AU$2=1,Assumptions!$H31/12,-(SUMIF($D$2:$EE$2,AU$2-1,$D30:$EE30)/12)*(1+XLOOKUP(AU$2,Assumptions!$C$94:$M$94,Assumptions!$C$98:$M$98))))</f>
        <v>-1032.064379</v>
      </c>
      <c r="AV30" s="54">
        <f t="array" ref="AV30">-(IF(AV$2=1,Assumptions!$H31/12,-(SUMIF($D$2:$EE$2,AV$2-1,$D30:$EE30)/12)*(1+XLOOKUP(AV$2,Assumptions!$C$94:$M$94,Assumptions!$C$98:$M$98))))</f>
        <v>-1032.064379</v>
      </c>
      <c r="AW30" s="54">
        <f t="array" ref="AW30">-(IF(AW$2=1,Assumptions!$H31/12,-(SUMIF($D$2:$EE$2,AW$2-1,$D30:$EE30)/12)*(1+XLOOKUP(AW$2,Assumptions!$C$94:$M$94,Assumptions!$C$98:$M$98))))</f>
        <v>-1032.064379</v>
      </c>
      <c r="AX30" s="54">
        <f t="array" ref="AX30">-(IF(AX$2=1,Assumptions!$H31/12,-(SUMIF($D$2:$EE$2,AX$2-1,$D30:$EE30)/12)*(1+XLOOKUP(AX$2,Assumptions!$C$94:$M$94,Assumptions!$C$98:$M$98))))</f>
        <v>-1032.064379</v>
      </c>
      <c r="AY30" s="54">
        <f t="array" ref="AY30">-(IF(AY$2=1,Assumptions!$H31/12,-(SUMIF($D$2:$EE$2,AY$2-1,$D30:$EE30)/12)*(1+XLOOKUP(AY$2,Assumptions!$C$94:$M$94,Assumptions!$C$98:$M$98))))</f>
        <v>-1032.064379</v>
      </c>
      <c r="AZ30" s="54">
        <f t="array" ref="AZ30">-(IF(AZ$2=1,Assumptions!$H31/12,-(SUMIF($D$2:$EE$2,AZ$2-1,$D30:$EE30)/12)*(1+XLOOKUP(AZ$2,Assumptions!$C$94:$M$94,Assumptions!$C$98:$M$98))))</f>
        <v>-1063.02631</v>
      </c>
      <c r="BA30" s="54">
        <f t="array" ref="BA30">-(IF(BA$2=1,Assumptions!$H31/12,-(SUMIF($D$2:$EE$2,BA$2-1,$D30:$EE30)/12)*(1+XLOOKUP(BA$2,Assumptions!$C$94:$M$94,Assumptions!$C$98:$M$98))))</f>
        <v>-1063.02631</v>
      </c>
      <c r="BB30" s="54">
        <f t="array" ref="BB30">-(IF(BB$2=1,Assumptions!$H31/12,-(SUMIF($D$2:$EE$2,BB$2-1,$D30:$EE30)/12)*(1+XLOOKUP(BB$2,Assumptions!$C$94:$M$94,Assumptions!$C$98:$M$98))))</f>
        <v>-1063.02631</v>
      </c>
      <c r="BC30" s="54">
        <f t="array" ref="BC30">-(IF(BC$2=1,Assumptions!$H31/12,-(SUMIF($D$2:$EE$2,BC$2-1,$D30:$EE30)/12)*(1+XLOOKUP(BC$2,Assumptions!$C$94:$M$94,Assumptions!$C$98:$M$98))))</f>
        <v>-1063.02631</v>
      </c>
      <c r="BD30" s="54">
        <f t="array" ref="BD30">-(IF(BD$2=1,Assumptions!$H31/12,-(SUMIF($D$2:$EE$2,BD$2-1,$D30:$EE30)/12)*(1+XLOOKUP(BD$2,Assumptions!$C$94:$M$94,Assumptions!$C$98:$M$98))))</f>
        <v>-1063.02631</v>
      </c>
      <c r="BE30" s="54">
        <f t="array" ref="BE30">-(IF(BE$2=1,Assumptions!$H31/12,-(SUMIF($D$2:$EE$2,BE$2-1,$D30:$EE30)/12)*(1+XLOOKUP(BE$2,Assumptions!$C$94:$M$94,Assumptions!$C$98:$M$98))))</f>
        <v>-1063.02631</v>
      </c>
      <c r="BF30" s="54">
        <f t="array" ref="BF30">-(IF(BF$2=1,Assumptions!$H31/12,-(SUMIF($D$2:$EE$2,BF$2-1,$D30:$EE30)/12)*(1+XLOOKUP(BF$2,Assumptions!$C$94:$M$94,Assumptions!$C$98:$M$98))))</f>
        <v>-1063.02631</v>
      </c>
      <c r="BG30" s="54">
        <f t="array" ref="BG30">-(IF(BG$2=1,Assumptions!$H31/12,-(SUMIF($D$2:$EE$2,BG$2-1,$D30:$EE30)/12)*(1+XLOOKUP(BG$2,Assumptions!$C$94:$M$94,Assumptions!$C$98:$M$98))))</f>
        <v>-1063.02631</v>
      </c>
      <c r="BH30" s="54">
        <f t="array" ref="BH30">-(IF(BH$2=1,Assumptions!$H31/12,-(SUMIF($D$2:$EE$2,BH$2-1,$D30:$EE30)/12)*(1+XLOOKUP(BH$2,Assumptions!$C$94:$M$94,Assumptions!$C$98:$M$98))))</f>
        <v>-1063.02631</v>
      </c>
      <c r="BI30" s="54">
        <f t="array" ref="BI30">-(IF(BI$2=1,Assumptions!$H31/12,-(SUMIF($D$2:$EE$2,BI$2-1,$D30:$EE30)/12)*(1+XLOOKUP(BI$2,Assumptions!$C$94:$M$94,Assumptions!$C$98:$M$98))))</f>
        <v>-1063.02631</v>
      </c>
      <c r="BJ30" s="54">
        <f t="array" ref="BJ30">-(IF(BJ$2=1,Assumptions!$H31/12,-(SUMIF($D$2:$EE$2,BJ$2-1,$D30:$EE30)/12)*(1+XLOOKUP(BJ$2,Assumptions!$C$94:$M$94,Assumptions!$C$98:$M$98))))</f>
        <v>-1063.02631</v>
      </c>
      <c r="BK30" s="54">
        <f t="array" ref="BK30">-(IF(BK$2=1,Assumptions!$H31/12,-(SUMIF($D$2:$EE$2,BK$2-1,$D30:$EE30)/12)*(1+XLOOKUP(BK$2,Assumptions!$C$94:$M$94,Assumptions!$C$98:$M$98))))</f>
        <v>-1063.02631</v>
      </c>
      <c r="BL30" s="54">
        <f t="array" ref="BL30">-(IF(BL$2=1,Assumptions!$H31/12,-(SUMIF($D$2:$EE$2,BL$2-1,$D30:$EE30)/12)*(1+XLOOKUP(BL$2,Assumptions!$C$94:$M$94,Assumptions!$C$98:$M$98))))</f>
        <v>-1094.9171</v>
      </c>
      <c r="BM30" s="54">
        <f t="array" ref="BM30">-(IF(BM$2=1,Assumptions!$H31/12,-(SUMIF($D$2:$EE$2,BM$2-1,$D30:$EE30)/12)*(1+XLOOKUP(BM$2,Assumptions!$C$94:$M$94,Assumptions!$C$98:$M$98))))</f>
        <v>-1094.9171</v>
      </c>
      <c r="BN30" s="54">
        <f t="array" ref="BN30">-(IF(BN$2=1,Assumptions!$H31/12,-(SUMIF($D$2:$EE$2,BN$2-1,$D30:$EE30)/12)*(1+XLOOKUP(BN$2,Assumptions!$C$94:$M$94,Assumptions!$C$98:$M$98))))</f>
        <v>-1094.9171</v>
      </c>
      <c r="BO30" s="54">
        <f t="array" ref="BO30">-(IF(BO$2=1,Assumptions!$H31/12,-(SUMIF($D$2:$EE$2,BO$2-1,$D30:$EE30)/12)*(1+XLOOKUP(BO$2,Assumptions!$C$94:$M$94,Assumptions!$C$98:$M$98))))</f>
        <v>-1094.9171</v>
      </c>
      <c r="BP30" s="54">
        <f t="array" ref="BP30">-(IF(BP$2=1,Assumptions!$H31/12,-(SUMIF($D$2:$EE$2,BP$2-1,$D30:$EE30)/12)*(1+XLOOKUP(BP$2,Assumptions!$C$94:$M$94,Assumptions!$C$98:$M$98))))</f>
        <v>-1094.9171</v>
      </c>
      <c r="BQ30" s="54">
        <f t="array" ref="BQ30">-(IF(BQ$2=1,Assumptions!$H31/12,-(SUMIF($D$2:$EE$2,BQ$2-1,$D30:$EE30)/12)*(1+XLOOKUP(BQ$2,Assumptions!$C$94:$M$94,Assumptions!$C$98:$M$98))))</f>
        <v>-1094.9171</v>
      </c>
      <c r="BR30" s="54">
        <f t="array" ref="BR30">-(IF(BR$2=1,Assumptions!$H31/12,-(SUMIF($D$2:$EE$2,BR$2-1,$D30:$EE30)/12)*(1+XLOOKUP(BR$2,Assumptions!$C$94:$M$94,Assumptions!$C$98:$M$98))))</f>
        <v>-1094.9171</v>
      </c>
      <c r="BS30" s="54">
        <f t="array" ref="BS30">-(IF(BS$2=1,Assumptions!$H31/12,-(SUMIF($D$2:$EE$2,BS$2-1,$D30:$EE30)/12)*(1+XLOOKUP(BS$2,Assumptions!$C$94:$M$94,Assumptions!$C$98:$M$98))))</f>
        <v>-1094.9171</v>
      </c>
      <c r="BT30" s="54">
        <f t="array" ref="BT30">-(IF(BT$2=1,Assumptions!$H31/12,-(SUMIF($D$2:$EE$2,BT$2-1,$D30:$EE30)/12)*(1+XLOOKUP(BT$2,Assumptions!$C$94:$M$94,Assumptions!$C$98:$M$98))))</f>
        <v>-1094.9171</v>
      </c>
      <c r="BU30" s="54">
        <f t="array" ref="BU30">-(IF(BU$2=1,Assumptions!$H31/12,-(SUMIF($D$2:$EE$2,BU$2-1,$D30:$EE30)/12)*(1+XLOOKUP(BU$2,Assumptions!$C$94:$M$94,Assumptions!$C$98:$M$98))))</f>
        <v>-1094.9171</v>
      </c>
      <c r="BV30" s="54">
        <f t="array" ref="BV30">-(IF(BV$2=1,Assumptions!$H31/12,-(SUMIF($D$2:$EE$2,BV$2-1,$D30:$EE30)/12)*(1+XLOOKUP(BV$2,Assumptions!$C$94:$M$94,Assumptions!$C$98:$M$98))))</f>
        <v>-1094.9171</v>
      </c>
      <c r="BW30" s="54">
        <f t="array" ref="BW30">-(IF(BW$2=1,Assumptions!$H31/12,-(SUMIF($D$2:$EE$2,BW$2-1,$D30:$EE30)/12)*(1+XLOOKUP(BW$2,Assumptions!$C$94:$M$94,Assumptions!$C$98:$M$98))))</f>
        <v>-1094.9171</v>
      </c>
      <c r="BX30" s="54">
        <f t="array" ref="BX30">-(IF(BX$2=1,Assumptions!$H31/12,-(SUMIF($D$2:$EE$2,BX$2-1,$D30:$EE30)/12)*(1+XLOOKUP(BX$2,Assumptions!$C$94:$M$94,Assumptions!$C$98:$M$98))))</f>
        <v>-1127.764613</v>
      </c>
      <c r="BY30" s="54">
        <f t="array" ref="BY30">-(IF(BY$2=1,Assumptions!$H31/12,-(SUMIF($D$2:$EE$2,BY$2-1,$D30:$EE30)/12)*(1+XLOOKUP(BY$2,Assumptions!$C$94:$M$94,Assumptions!$C$98:$M$98))))</f>
        <v>-1127.764613</v>
      </c>
      <c r="BZ30" s="54">
        <f t="array" ref="BZ30">-(IF(BZ$2=1,Assumptions!$H31/12,-(SUMIF($D$2:$EE$2,BZ$2-1,$D30:$EE30)/12)*(1+XLOOKUP(BZ$2,Assumptions!$C$94:$M$94,Assumptions!$C$98:$M$98))))</f>
        <v>-1127.764613</v>
      </c>
      <c r="CA30" s="54">
        <f t="array" ref="CA30">-(IF(CA$2=1,Assumptions!$H31/12,-(SUMIF($D$2:$EE$2,CA$2-1,$D30:$EE30)/12)*(1+XLOOKUP(CA$2,Assumptions!$C$94:$M$94,Assumptions!$C$98:$M$98))))</f>
        <v>-1127.764613</v>
      </c>
      <c r="CB30" s="54">
        <f t="array" ref="CB30">-(IF(CB$2=1,Assumptions!$H31/12,-(SUMIF($D$2:$EE$2,CB$2-1,$D30:$EE30)/12)*(1+XLOOKUP(CB$2,Assumptions!$C$94:$M$94,Assumptions!$C$98:$M$98))))</f>
        <v>-1127.764613</v>
      </c>
      <c r="CC30" s="54">
        <f t="array" ref="CC30">-(IF(CC$2=1,Assumptions!$H31/12,-(SUMIF($D$2:$EE$2,CC$2-1,$D30:$EE30)/12)*(1+XLOOKUP(CC$2,Assumptions!$C$94:$M$94,Assumptions!$C$98:$M$98))))</f>
        <v>-1127.764613</v>
      </c>
      <c r="CD30" s="54">
        <f t="array" ref="CD30">-(IF(CD$2=1,Assumptions!$H31/12,-(SUMIF($D$2:$EE$2,CD$2-1,$D30:$EE30)/12)*(1+XLOOKUP(CD$2,Assumptions!$C$94:$M$94,Assumptions!$C$98:$M$98))))</f>
        <v>-1127.764613</v>
      </c>
      <c r="CE30" s="54">
        <f t="array" ref="CE30">-(IF(CE$2=1,Assumptions!$H31/12,-(SUMIF($D$2:$EE$2,CE$2-1,$D30:$EE30)/12)*(1+XLOOKUP(CE$2,Assumptions!$C$94:$M$94,Assumptions!$C$98:$M$98))))</f>
        <v>-1127.764613</v>
      </c>
      <c r="CF30" s="54">
        <f t="array" ref="CF30">-(IF(CF$2=1,Assumptions!$H31/12,-(SUMIF($D$2:$EE$2,CF$2-1,$D30:$EE30)/12)*(1+XLOOKUP(CF$2,Assumptions!$C$94:$M$94,Assumptions!$C$98:$M$98))))</f>
        <v>-1127.764613</v>
      </c>
      <c r="CG30" s="54">
        <f t="array" ref="CG30">-(IF(CG$2=1,Assumptions!$H31/12,-(SUMIF($D$2:$EE$2,CG$2-1,$D30:$EE30)/12)*(1+XLOOKUP(CG$2,Assumptions!$C$94:$M$94,Assumptions!$C$98:$M$98))))</f>
        <v>-1127.764613</v>
      </c>
      <c r="CH30" s="54">
        <f t="array" ref="CH30">-(IF(CH$2=1,Assumptions!$H31/12,-(SUMIF($D$2:$EE$2,CH$2-1,$D30:$EE30)/12)*(1+XLOOKUP(CH$2,Assumptions!$C$94:$M$94,Assumptions!$C$98:$M$98))))</f>
        <v>-1127.764613</v>
      </c>
      <c r="CI30" s="54">
        <f t="array" ref="CI30">-(IF(CI$2=1,Assumptions!$H31/12,-(SUMIF($D$2:$EE$2,CI$2-1,$D30:$EE30)/12)*(1+XLOOKUP(CI$2,Assumptions!$C$94:$M$94,Assumptions!$C$98:$M$98))))</f>
        <v>-1127.764613</v>
      </c>
      <c r="CJ30" s="54">
        <f t="array" ref="CJ30">-(IF(CJ$2=1,Assumptions!$H31/12,-(SUMIF($D$2:$EE$2,CJ$2-1,$D30:$EE30)/12)*(1+XLOOKUP(CJ$2,Assumptions!$C$94:$M$94,Assumptions!$C$98:$M$98))))</f>
        <v>-1161.597551</v>
      </c>
      <c r="CK30" s="54">
        <f t="array" ref="CK30">-(IF(CK$2=1,Assumptions!$H31/12,-(SUMIF($D$2:$EE$2,CK$2-1,$D30:$EE30)/12)*(1+XLOOKUP(CK$2,Assumptions!$C$94:$M$94,Assumptions!$C$98:$M$98))))</f>
        <v>-1161.597551</v>
      </c>
      <c r="CL30" s="54">
        <f t="array" ref="CL30">-(IF(CL$2=1,Assumptions!$H31/12,-(SUMIF($D$2:$EE$2,CL$2-1,$D30:$EE30)/12)*(1+XLOOKUP(CL$2,Assumptions!$C$94:$M$94,Assumptions!$C$98:$M$98))))</f>
        <v>-1161.597551</v>
      </c>
      <c r="CM30" s="54">
        <f t="array" ref="CM30">-(IF(CM$2=1,Assumptions!$H31/12,-(SUMIF($D$2:$EE$2,CM$2-1,$D30:$EE30)/12)*(1+XLOOKUP(CM$2,Assumptions!$C$94:$M$94,Assumptions!$C$98:$M$98))))</f>
        <v>-1161.597551</v>
      </c>
      <c r="CN30" s="54">
        <f t="array" ref="CN30">-(IF(CN$2=1,Assumptions!$H31/12,-(SUMIF($D$2:$EE$2,CN$2-1,$D30:$EE30)/12)*(1+XLOOKUP(CN$2,Assumptions!$C$94:$M$94,Assumptions!$C$98:$M$98))))</f>
        <v>-1161.597551</v>
      </c>
      <c r="CO30" s="54">
        <f t="array" ref="CO30">-(IF(CO$2=1,Assumptions!$H31/12,-(SUMIF($D$2:$EE$2,CO$2-1,$D30:$EE30)/12)*(1+XLOOKUP(CO$2,Assumptions!$C$94:$M$94,Assumptions!$C$98:$M$98))))</f>
        <v>-1161.597551</v>
      </c>
      <c r="CP30" s="54">
        <f t="array" ref="CP30">-(IF(CP$2=1,Assumptions!$H31/12,-(SUMIF($D$2:$EE$2,CP$2-1,$D30:$EE30)/12)*(1+XLOOKUP(CP$2,Assumptions!$C$94:$M$94,Assumptions!$C$98:$M$98))))</f>
        <v>-1161.597551</v>
      </c>
      <c r="CQ30" s="54">
        <f t="array" ref="CQ30">-(IF(CQ$2=1,Assumptions!$H31/12,-(SUMIF($D$2:$EE$2,CQ$2-1,$D30:$EE30)/12)*(1+XLOOKUP(CQ$2,Assumptions!$C$94:$M$94,Assumptions!$C$98:$M$98))))</f>
        <v>-1161.597551</v>
      </c>
      <c r="CR30" s="54">
        <f t="array" ref="CR30">-(IF(CR$2=1,Assumptions!$H31/12,-(SUMIF($D$2:$EE$2,CR$2-1,$D30:$EE30)/12)*(1+XLOOKUP(CR$2,Assumptions!$C$94:$M$94,Assumptions!$C$98:$M$98))))</f>
        <v>-1161.597551</v>
      </c>
      <c r="CS30" s="54">
        <f t="array" ref="CS30">-(IF(CS$2=1,Assumptions!$H31/12,-(SUMIF($D$2:$EE$2,CS$2-1,$D30:$EE30)/12)*(1+XLOOKUP(CS$2,Assumptions!$C$94:$M$94,Assumptions!$C$98:$M$98))))</f>
        <v>-1161.597551</v>
      </c>
      <c r="CT30" s="54">
        <f t="array" ref="CT30">-(IF(CT$2=1,Assumptions!$H31/12,-(SUMIF($D$2:$EE$2,CT$2-1,$D30:$EE30)/12)*(1+XLOOKUP(CT$2,Assumptions!$C$94:$M$94,Assumptions!$C$98:$M$98))))</f>
        <v>-1161.597551</v>
      </c>
      <c r="CU30" s="54">
        <f t="array" ref="CU30">-(IF(CU$2=1,Assumptions!$H31/12,-(SUMIF($D$2:$EE$2,CU$2-1,$D30:$EE30)/12)*(1+XLOOKUP(CU$2,Assumptions!$C$94:$M$94,Assumptions!$C$98:$M$98))))</f>
        <v>-1161.597551</v>
      </c>
      <c r="CV30" s="54">
        <f t="array" ref="CV30">-(IF(CV$2=1,Assumptions!$H31/12,-(SUMIF($D$2:$EE$2,CV$2-1,$D30:$EE30)/12)*(1+XLOOKUP(CV$2,Assumptions!$C$94:$M$94,Assumptions!$C$98:$M$98))))</f>
        <v>-1196.445478</v>
      </c>
      <c r="CW30" s="54">
        <f t="array" ref="CW30">-(IF(CW$2=1,Assumptions!$H31/12,-(SUMIF($D$2:$EE$2,CW$2-1,$D30:$EE30)/12)*(1+XLOOKUP(CW$2,Assumptions!$C$94:$M$94,Assumptions!$C$98:$M$98))))</f>
        <v>-1196.445478</v>
      </c>
      <c r="CX30" s="54">
        <f t="array" ref="CX30">-(IF(CX$2=1,Assumptions!$H31/12,-(SUMIF($D$2:$EE$2,CX$2-1,$D30:$EE30)/12)*(1+XLOOKUP(CX$2,Assumptions!$C$94:$M$94,Assumptions!$C$98:$M$98))))</f>
        <v>-1196.445478</v>
      </c>
      <c r="CY30" s="54">
        <f t="array" ref="CY30">-(IF(CY$2=1,Assumptions!$H31/12,-(SUMIF($D$2:$EE$2,CY$2-1,$D30:$EE30)/12)*(1+XLOOKUP(CY$2,Assumptions!$C$94:$M$94,Assumptions!$C$98:$M$98))))</f>
        <v>-1196.445478</v>
      </c>
      <c r="CZ30" s="54">
        <f t="array" ref="CZ30">-(IF(CZ$2=1,Assumptions!$H31/12,-(SUMIF($D$2:$EE$2,CZ$2-1,$D30:$EE30)/12)*(1+XLOOKUP(CZ$2,Assumptions!$C$94:$M$94,Assumptions!$C$98:$M$98))))</f>
        <v>-1196.445478</v>
      </c>
      <c r="DA30" s="54">
        <f t="array" ref="DA30">-(IF(DA$2=1,Assumptions!$H31/12,-(SUMIF($D$2:$EE$2,DA$2-1,$D30:$EE30)/12)*(1+XLOOKUP(DA$2,Assumptions!$C$94:$M$94,Assumptions!$C$98:$M$98))))</f>
        <v>-1196.445478</v>
      </c>
      <c r="DB30" s="54">
        <f t="array" ref="DB30">-(IF(DB$2=1,Assumptions!$H31/12,-(SUMIF($D$2:$EE$2,DB$2-1,$D30:$EE30)/12)*(1+XLOOKUP(DB$2,Assumptions!$C$94:$M$94,Assumptions!$C$98:$M$98))))</f>
        <v>-1196.445478</v>
      </c>
      <c r="DC30" s="54">
        <f t="array" ref="DC30">-(IF(DC$2=1,Assumptions!$H31/12,-(SUMIF($D$2:$EE$2,DC$2-1,$D30:$EE30)/12)*(1+XLOOKUP(DC$2,Assumptions!$C$94:$M$94,Assumptions!$C$98:$M$98))))</f>
        <v>-1196.445478</v>
      </c>
      <c r="DD30" s="54">
        <f t="array" ref="DD30">-(IF(DD$2=1,Assumptions!$H31/12,-(SUMIF($D$2:$EE$2,DD$2-1,$D30:$EE30)/12)*(1+XLOOKUP(DD$2,Assumptions!$C$94:$M$94,Assumptions!$C$98:$M$98))))</f>
        <v>-1196.445478</v>
      </c>
      <c r="DE30" s="54">
        <f t="array" ref="DE30">-(IF(DE$2=1,Assumptions!$H31/12,-(SUMIF($D$2:$EE$2,DE$2-1,$D30:$EE30)/12)*(1+XLOOKUP(DE$2,Assumptions!$C$94:$M$94,Assumptions!$C$98:$M$98))))</f>
        <v>-1196.445478</v>
      </c>
      <c r="DF30" s="54">
        <f t="array" ref="DF30">-(IF(DF$2=1,Assumptions!$H31/12,-(SUMIF($D$2:$EE$2,DF$2-1,$D30:$EE30)/12)*(1+XLOOKUP(DF$2,Assumptions!$C$94:$M$94,Assumptions!$C$98:$M$98))))</f>
        <v>-1196.445478</v>
      </c>
      <c r="DG30" s="54">
        <f t="array" ref="DG30">-(IF(DG$2=1,Assumptions!$H31/12,-(SUMIF($D$2:$EE$2,DG$2-1,$D30:$EE30)/12)*(1+XLOOKUP(DG$2,Assumptions!$C$94:$M$94,Assumptions!$C$98:$M$98))))</f>
        <v>-1196.445478</v>
      </c>
      <c r="DH30" s="54">
        <f t="array" ref="DH30">-(IF(DH$2=1,Assumptions!$H31/12,-(SUMIF($D$2:$EE$2,DH$2-1,$D30:$EE30)/12)*(1+XLOOKUP(DH$2,Assumptions!$C$94:$M$94,Assumptions!$C$98:$M$98))))</f>
        <v>-1232.338842</v>
      </c>
      <c r="DI30" s="54">
        <f t="array" ref="DI30">-(IF(DI$2=1,Assumptions!$H31/12,-(SUMIF($D$2:$EE$2,DI$2-1,$D30:$EE30)/12)*(1+XLOOKUP(DI$2,Assumptions!$C$94:$M$94,Assumptions!$C$98:$M$98))))</f>
        <v>-1232.338842</v>
      </c>
      <c r="DJ30" s="54">
        <f t="array" ref="DJ30">-(IF(DJ$2=1,Assumptions!$H31/12,-(SUMIF($D$2:$EE$2,DJ$2-1,$D30:$EE30)/12)*(1+XLOOKUP(DJ$2,Assumptions!$C$94:$M$94,Assumptions!$C$98:$M$98))))</f>
        <v>-1232.338842</v>
      </c>
      <c r="DK30" s="54">
        <f t="array" ref="DK30">-(IF(DK$2=1,Assumptions!$H31/12,-(SUMIF($D$2:$EE$2,DK$2-1,$D30:$EE30)/12)*(1+XLOOKUP(DK$2,Assumptions!$C$94:$M$94,Assumptions!$C$98:$M$98))))</f>
        <v>-1232.338842</v>
      </c>
      <c r="DL30" s="54">
        <f t="array" ref="DL30">-(IF(DL$2=1,Assumptions!$H31/12,-(SUMIF($D$2:$EE$2,DL$2-1,$D30:$EE30)/12)*(1+XLOOKUP(DL$2,Assumptions!$C$94:$M$94,Assumptions!$C$98:$M$98))))</f>
        <v>-1232.338842</v>
      </c>
      <c r="DM30" s="54">
        <f t="array" ref="DM30">-(IF(DM$2=1,Assumptions!$H31/12,-(SUMIF($D$2:$EE$2,DM$2-1,$D30:$EE30)/12)*(1+XLOOKUP(DM$2,Assumptions!$C$94:$M$94,Assumptions!$C$98:$M$98))))</f>
        <v>-1232.338842</v>
      </c>
      <c r="DN30" s="54">
        <f t="array" ref="DN30">-(IF(DN$2=1,Assumptions!$H31/12,-(SUMIF($D$2:$EE$2,DN$2-1,$D30:$EE30)/12)*(1+XLOOKUP(DN$2,Assumptions!$C$94:$M$94,Assumptions!$C$98:$M$98))))</f>
        <v>-1232.338842</v>
      </c>
      <c r="DO30" s="54">
        <f t="array" ref="DO30">-(IF(DO$2=1,Assumptions!$H31/12,-(SUMIF($D$2:$EE$2,DO$2-1,$D30:$EE30)/12)*(1+XLOOKUP(DO$2,Assumptions!$C$94:$M$94,Assumptions!$C$98:$M$98))))</f>
        <v>-1232.338842</v>
      </c>
      <c r="DP30" s="54">
        <f t="array" ref="DP30">-(IF(DP$2=1,Assumptions!$H31/12,-(SUMIF($D$2:$EE$2,DP$2-1,$D30:$EE30)/12)*(1+XLOOKUP(DP$2,Assumptions!$C$94:$M$94,Assumptions!$C$98:$M$98))))</f>
        <v>-1232.338842</v>
      </c>
      <c r="DQ30" s="54">
        <f t="array" ref="DQ30">-(IF(DQ$2=1,Assumptions!$H31/12,-(SUMIF($D$2:$EE$2,DQ$2-1,$D30:$EE30)/12)*(1+XLOOKUP(DQ$2,Assumptions!$C$94:$M$94,Assumptions!$C$98:$M$98))))</f>
        <v>-1232.338842</v>
      </c>
      <c r="DR30" s="54">
        <f t="array" ref="DR30">-(IF(DR$2=1,Assumptions!$H31/12,-(SUMIF($D$2:$EE$2,DR$2-1,$D30:$EE30)/12)*(1+XLOOKUP(DR$2,Assumptions!$C$94:$M$94,Assumptions!$C$98:$M$98))))</f>
        <v>-1232.338842</v>
      </c>
      <c r="DS30" s="54">
        <f t="array" ref="DS30">-(IF(DS$2=1,Assumptions!$H31/12,-(SUMIF($D$2:$EE$2,DS$2-1,$D30:$EE30)/12)*(1+XLOOKUP(DS$2,Assumptions!$C$94:$M$94,Assumptions!$C$98:$M$98))))</f>
        <v>-1232.338842</v>
      </c>
      <c r="DT30" s="54">
        <f t="array" ref="DT30">-(IF(DT$2=1,Assumptions!$H31/12,-(SUMIF($D$2:$EE$2,DT$2-1,$D30:$EE30)/12)*(1+XLOOKUP(DT$2,Assumptions!$C$94:$M$94,Assumptions!$C$98:$M$98))))</f>
        <v>-1269.309007</v>
      </c>
      <c r="DU30" s="54">
        <f t="array" ref="DU30">-(IF(DU$2=1,Assumptions!$H31/12,-(SUMIF($D$2:$EE$2,DU$2-1,$D30:$EE30)/12)*(1+XLOOKUP(DU$2,Assumptions!$C$94:$M$94,Assumptions!$C$98:$M$98))))</f>
        <v>-1269.309007</v>
      </c>
      <c r="DV30" s="54">
        <f t="array" ref="DV30">-(IF(DV$2=1,Assumptions!$H31/12,-(SUMIF($D$2:$EE$2,DV$2-1,$D30:$EE30)/12)*(1+XLOOKUP(DV$2,Assumptions!$C$94:$M$94,Assumptions!$C$98:$M$98))))</f>
        <v>-1269.309007</v>
      </c>
      <c r="DW30" s="54">
        <f t="array" ref="DW30">-(IF(DW$2=1,Assumptions!$H31/12,-(SUMIF($D$2:$EE$2,DW$2-1,$D30:$EE30)/12)*(1+XLOOKUP(DW$2,Assumptions!$C$94:$M$94,Assumptions!$C$98:$M$98))))</f>
        <v>-1269.309007</v>
      </c>
      <c r="DX30" s="54">
        <f t="array" ref="DX30">-(IF(DX$2=1,Assumptions!$H31/12,-(SUMIF($D$2:$EE$2,DX$2-1,$D30:$EE30)/12)*(1+XLOOKUP(DX$2,Assumptions!$C$94:$M$94,Assumptions!$C$98:$M$98))))</f>
        <v>-1269.309007</v>
      </c>
      <c r="DY30" s="54">
        <f t="array" ref="DY30">-(IF(DY$2=1,Assumptions!$H31/12,-(SUMIF($D$2:$EE$2,DY$2-1,$D30:$EE30)/12)*(1+XLOOKUP(DY$2,Assumptions!$C$94:$M$94,Assumptions!$C$98:$M$98))))</f>
        <v>-1269.309007</v>
      </c>
      <c r="DZ30" s="54">
        <f t="array" ref="DZ30">-(IF(DZ$2=1,Assumptions!$H31/12,-(SUMIF($D$2:$EE$2,DZ$2-1,$D30:$EE30)/12)*(1+XLOOKUP(DZ$2,Assumptions!$C$94:$M$94,Assumptions!$C$98:$M$98))))</f>
        <v>-1269.309007</v>
      </c>
      <c r="EA30" s="54">
        <f t="array" ref="EA30">-(IF(EA$2=1,Assumptions!$H31/12,-(SUMIF($D$2:$EE$2,EA$2-1,$D30:$EE30)/12)*(1+XLOOKUP(EA$2,Assumptions!$C$94:$M$94,Assumptions!$C$98:$M$98))))</f>
        <v>-1269.309007</v>
      </c>
      <c r="EB30" s="54">
        <f t="array" ref="EB30">-(IF(EB$2=1,Assumptions!$H31/12,-(SUMIF($D$2:$EE$2,EB$2-1,$D30:$EE30)/12)*(1+XLOOKUP(EB$2,Assumptions!$C$94:$M$94,Assumptions!$C$98:$M$98))))</f>
        <v>-1269.309007</v>
      </c>
      <c r="EC30" s="54">
        <f t="array" ref="EC30">-(IF(EC$2=1,Assumptions!$H31/12,-(SUMIF($D$2:$EE$2,EC$2-1,$D30:$EE30)/12)*(1+XLOOKUP(EC$2,Assumptions!$C$94:$M$94,Assumptions!$C$98:$M$98))))</f>
        <v>-1269.309007</v>
      </c>
      <c r="ED30" s="54">
        <f t="array" ref="ED30">-(IF(ED$2=1,Assumptions!$H31/12,-(SUMIF($D$2:$EE$2,ED$2-1,$D30:$EE30)/12)*(1+XLOOKUP(ED$2,Assumptions!$C$94:$M$94,Assumptions!$C$98:$M$98))))</f>
        <v>-1269.309007</v>
      </c>
      <c r="EE30" s="54">
        <f t="array" ref="EE30">-(IF(EE$2=1,Assumptions!$H31/12,-(SUMIF($D$2:$EE$2,EE$2-1,$D30:$EE30)/12)*(1+XLOOKUP(EE$2,Assumptions!$C$94:$M$94,Assumptions!$C$98:$M$98))))</f>
        <v>-1269.309007</v>
      </c>
    </row>
    <row r="31" ht="15.75" customHeight="1">
      <c r="A31" s="1"/>
      <c r="B31" s="1"/>
      <c r="C31" s="1" t="str">
        <f>Assumptions!B32</f>
        <v>Repair &amp; Maintenance</v>
      </c>
      <c r="D31" s="54">
        <f t="array" ref="D31">-(IF(D$2=1,Assumptions!$H32/12,-(SUMIF($D$2:$EE$2,D$2-1,$D31:$EE31)/12)*(1+XLOOKUP(D$2,Assumptions!$C$94:$M$94,Assumptions!$C$98:$M$98))))</f>
        <v>-705.27705</v>
      </c>
      <c r="E31" s="54">
        <f t="array" ref="E31">-(IF(E$2=1,Assumptions!$H32/12,-(SUMIF($D$2:$EE$2,E$2-1,$D31:$EE31)/12)*(1+XLOOKUP(E$2,Assumptions!$C$94:$M$94,Assumptions!$C$98:$M$98))))</f>
        <v>-705.27705</v>
      </c>
      <c r="F31" s="54">
        <f t="array" ref="F31">-(IF(F$2=1,Assumptions!$H32/12,-(SUMIF($D$2:$EE$2,F$2-1,$D31:$EE31)/12)*(1+XLOOKUP(F$2,Assumptions!$C$94:$M$94,Assumptions!$C$98:$M$98))))</f>
        <v>-705.27705</v>
      </c>
      <c r="G31" s="54">
        <f t="array" ref="G31">-(IF(G$2=1,Assumptions!$H32/12,-(SUMIF($D$2:$EE$2,G$2-1,$D31:$EE31)/12)*(1+XLOOKUP(G$2,Assumptions!$C$94:$M$94,Assumptions!$C$98:$M$98))))</f>
        <v>-705.27705</v>
      </c>
      <c r="H31" s="54">
        <f t="array" ref="H31">-(IF(H$2=1,Assumptions!$H32/12,-(SUMIF($D$2:$EE$2,H$2-1,$D31:$EE31)/12)*(1+XLOOKUP(H$2,Assumptions!$C$94:$M$94,Assumptions!$C$98:$M$98))))</f>
        <v>-705.27705</v>
      </c>
      <c r="I31" s="54">
        <f t="array" ref="I31">-(IF(I$2=1,Assumptions!$H32/12,-(SUMIF($D$2:$EE$2,I$2-1,$D31:$EE31)/12)*(1+XLOOKUP(I$2,Assumptions!$C$94:$M$94,Assumptions!$C$98:$M$98))))</f>
        <v>-705.27705</v>
      </c>
      <c r="J31" s="54">
        <f t="array" ref="J31">-(IF(J$2=1,Assumptions!$H32/12,-(SUMIF($D$2:$EE$2,J$2-1,$D31:$EE31)/12)*(1+XLOOKUP(J$2,Assumptions!$C$94:$M$94,Assumptions!$C$98:$M$98))))</f>
        <v>-705.27705</v>
      </c>
      <c r="K31" s="54">
        <f t="array" ref="K31">-(IF(K$2=1,Assumptions!$H32/12,-(SUMIF($D$2:$EE$2,K$2-1,$D31:$EE31)/12)*(1+XLOOKUP(K$2,Assumptions!$C$94:$M$94,Assumptions!$C$98:$M$98))))</f>
        <v>-705.27705</v>
      </c>
      <c r="L31" s="54">
        <f t="array" ref="L31">-(IF(L$2=1,Assumptions!$H32/12,-(SUMIF($D$2:$EE$2,L$2-1,$D31:$EE31)/12)*(1+XLOOKUP(L$2,Assumptions!$C$94:$M$94,Assumptions!$C$98:$M$98))))</f>
        <v>-705.27705</v>
      </c>
      <c r="M31" s="54">
        <f t="array" ref="M31">-(IF(M$2=1,Assumptions!$H32/12,-(SUMIF($D$2:$EE$2,M$2-1,$D31:$EE31)/12)*(1+XLOOKUP(M$2,Assumptions!$C$94:$M$94,Assumptions!$C$98:$M$98))))</f>
        <v>-705.27705</v>
      </c>
      <c r="N31" s="54">
        <f t="array" ref="N31">-(IF(N$2=1,Assumptions!$H32/12,-(SUMIF($D$2:$EE$2,N$2-1,$D31:$EE31)/12)*(1+XLOOKUP(N$2,Assumptions!$C$94:$M$94,Assumptions!$C$98:$M$98))))</f>
        <v>-705.27705</v>
      </c>
      <c r="O31" s="54">
        <f t="array" ref="O31">-(IF(O$2=1,Assumptions!$H32/12,-(SUMIF($D$2:$EE$2,O$2-1,$D31:$EE31)/12)*(1+XLOOKUP(O$2,Assumptions!$C$94:$M$94,Assumptions!$C$98:$M$98))))</f>
        <v>-705.27705</v>
      </c>
      <c r="P31" s="54">
        <f t="array" ref="P31">-(IF(P$2=1,Assumptions!$H32/12,-(SUMIF($D$2:$EE$2,P$2-1,$D31:$EE31)/12)*(1+XLOOKUP(P$2,Assumptions!$C$94:$M$94,Assumptions!$C$98:$M$98))))</f>
        <v>-726.4353615</v>
      </c>
      <c r="Q31" s="54">
        <f t="array" ref="Q31">-(IF(Q$2=1,Assumptions!$H32/12,-(SUMIF($D$2:$EE$2,Q$2-1,$D31:$EE31)/12)*(1+XLOOKUP(Q$2,Assumptions!$C$94:$M$94,Assumptions!$C$98:$M$98))))</f>
        <v>-726.4353615</v>
      </c>
      <c r="R31" s="54">
        <f t="array" ref="R31">-(IF(R$2=1,Assumptions!$H32/12,-(SUMIF($D$2:$EE$2,R$2-1,$D31:$EE31)/12)*(1+XLOOKUP(R$2,Assumptions!$C$94:$M$94,Assumptions!$C$98:$M$98))))</f>
        <v>-726.4353615</v>
      </c>
      <c r="S31" s="54">
        <f t="array" ref="S31">-(IF(S$2=1,Assumptions!$H32/12,-(SUMIF($D$2:$EE$2,S$2-1,$D31:$EE31)/12)*(1+XLOOKUP(S$2,Assumptions!$C$94:$M$94,Assumptions!$C$98:$M$98))))</f>
        <v>-726.4353615</v>
      </c>
      <c r="T31" s="54">
        <f t="array" ref="T31">-(IF(T$2=1,Assumptions!$H32/12,-(SUMIF($D$2:$EE$2,T$2-1,$D31:$EE31)/12)*(1+XLOOKUP(T$2,Assumptions!$C$94:$M$94,Assumptions!$C$98:$M$98))))</f>
        <v>-726.4353615</v>
      </c>
      <c r="U31" s="54">
        <f t="array" ref="U31">-(IF(U$2=1,Assumptions!$H32/12,-(SUMIF($D$2:$EE$2,U$2-1,$D31:$EE31)/12)*(1+XLOOKUP(U$2,Assumptions!$C$94:$M$94,Assumptions!$C$98:$M$98))))</f>
        <v>-726.4353615</v>
      </c>
      <c r="V31" s="54">
        <f t="array" ref="V31">-(IF(V$2=1,Assumptions!$H32/12,-(SUMIF($D$2:$EE$2,V$2-1,$D31:$EE31)/12)*(1+XLOOKUP(V$2,Assumptions!$C$94:$M$94,Assumptions!$C$98:$M$98))))</f>
        <v>-726.4353615</v>
      </c>
      <c r="W31" s="54">
        <f t="array" ref="W31">-(IF(W$2=1,Assumptions!$H32/12,-(SUMIF($D$2:$EE$2,W$2-1,$D31:$EE31)/12)*(1+XLOOKUP(W$2,Assumptions!$C$94:$M$94,Assumptions!$C$98:$M$98))))</f>
        <v>-726.4353615</v>
      </c>
      <c r="X31" s="54">
        <f t="array" ref="X31">-(IF(X$2=1,Assumptions!$H32/12,-(SUMIF($D$2:$EE$2,X$2-1,$D31:$EE31)/12)*(1+XLOOKUP(X$2,Assumptions!$C$94:$M$94,Assumptions!$C$98:$M$98))))</f>
        <v>-726.4353615</v>
      </c>
      <c r="Y31" s="54">
        <f t="array" ref="Y31">-(IF(Y$2=1,Assumptions!$H32/12,-(SUMIF($D$2:$EE$2,Y$2-1,$D31:$EE31)/12)*(1+XLOOKUP(Y$2,Assumptions!$C$94:$M$94,Assumptions!$C$98:$M$98))))</f>
        <v>-726.4353615</v>
      </c>
      <c r="Z31" s="54">
        <f t="array" ref="Z31">-(IF(Z$2=1,Assumptions!$H32/12,-(SUMIF($D$2:$EE$2,Z$2-1,$D31:$EE31)/12)*(1+XLOOKUP(Z$2,Assumptions!$C$94:$M$94,Assumptions!$C$98:$M$98))))</f>
        <v>-726.4353615</v>
      </c>
      <c r="AA31" s="54">
        <f t="array" ref="AA31">-(IF(AA$2=1,Assumptions!$H32/12,-(SUMIF($D$2:$EE$2,AA$2-1,$D31:$EE31)/12)*(1+XLOOKUP(AA$2,Assumptions!$C$94:$M$94,Assumptions!$C$98:$M$98))))</f>
        <v>-726.4353615</v>
      </c>
      <c r="AB31" s="54">
        <f t="array" ref="AB31">-(IF(AB$2=1,Assumptions!$H32/12,-(SUMIF($D$2:$EE$2,AB$2-1,$D31:$EE31)/12)*(1+XLOOKUP(AB$2,Assumptions!$C$94:$M$94,Assumptions!$C$98:$M$98))))</f>
        <v>-748.2284223</v>
      </c>
      <c r="AC31" s="54">
        <f t="array" ref="AC31">-(IF(AC$2=1,Assumptions!$H32/12,-(SUMIF($D$2:$EE$2,AC$2-1,$D31:$EE31)/12)*(1+XLOOKUP(AC$2,Assumptions!$C$94:$M$94,Assumptions!$C$98:$M$98))))</f>
        <v>-748.2284223</v>
      </c>
      <c r="AD31" s="54">
        <f t="array" ref="AD31">-(IF(AD$2=1,Assumptions!$H32/12,-(SUMIF($D$2:$EE$2,AD$2-1,$D31:$EE31)/12)*(1+XLOOKUP(AD$2,Assumptions!$C$94:$M$94,Assumptions!$C$98:$M$98))))</f>
        <v>-748.2284223</v>
      </c>
      <c r="AE31" s="54">
        <f t="array" ref="AE31">-(IF(AE$2=1,Assumptions!$H32/12,-(SUMIF($D$2:$EE$2,AE$2-1,$D31:$EE31)/12)*(1+XLOOKUP(AE$2,Assumptions!$C$94:$M$94,Assumptions!$C$98:$M$98))))</f>
        <v>-748.2284223</v>
      </c>
      <c r="AF31" s="54">
        <f t="array" ref="AF31">-(IF(AF$2=1,Assumptions!$H32/12,-(SUMIF($D$2:$EE$2,AF$2-1,$D31:$EE31)/12)*(1+XLOOKUP(AF$2,Assumptions!$C$94:$M$94,Assumptions!$C$98:$M$98))))</f>
        <v>-748.2284223</v>
      </c>
      <c r="AG31" s="54">
        <f t="array" ref="AG31">-(IF(AG$2=1,Assumptions!$H32/12,-(SUMIF($D$2:$EE$2,AG$2-1,$D31:$EE31)/12)*(1+XLOOKUP(AG$2,Assumptions!$C$94:$M$94,Assumptions!$C$98:$M$98))))</f>
        <v>-748.2284223</v>
      </c>
      <c r="AH31" s="54">
        <f t="array" ref="AH31">-(IF(AH$2=1,Assumptions!$H32/12,-(SUMIF($D$2:$EE$2,AH$2-1,$D31:$EE31)/12)*(1+XLOOKUP(AH$2,Assumptions!$C$94:$M$94,Assumptions!$C$98:$M$98))))</f>
        <v>-748.2284223</v>
      </c>
      <c r="AI31" s="54">
        <f t="array" ref="AI31">-(IF(AI$2=1,Assumptions!$H32/12,-(SUMIF($D$2:$EE$2,AI$2-1,$D31:$EE31)/12)*(1+XLOOKUP(AI$2,Assumptions!$C$94:$M$94,Assumptions!$C$98:$M$98))))</f>
        <v>-748.2284223</v>
      </c>
      <c r="AJ31" s="54">
        <f t="array" ref="AJ31">-(IF(AJ$2=1,Assumptions!$H32/12,-(SUMIF($D$2:$EE$2,AJ$2-1,$D31:$EE31)/12)*(1+XLOOKUP(AJ$2,Assumptions!$C$94:$M$94,Assumptions!$C$98:$M$98))))</f>
        <v>-748.2284223</v>
      </c>
      <c r="AK31" s="54">
        <f t="array" ref="AK31">-(IF(AK$2=1,Assumptions!$H32/12,-(SUMIF($D$2:$EE$2,AK$2-1,$D31:$EE31)/12)*(1+XLOOKUP(AK$2,Assumptions!$C$94:$M$94,Assumptions!$C$98:$M$98))))</f>
        <v>-748.2284223</v>
      </c>
      <c r="AL31" s="54">
        <f t="array" ref="AL31">-(IF(AL$2=1,Assumptions!$H32/12,-(SUMIF($D$2:$EE$2,AL$2-1,$D31:$EE31)/12)*(1+XLOOKUP(AL$2,Assumptions!$C$94:$M$94,Assumptions!$C$98:$M$98))))</f>
        <v>-748.2284223</v>
      </c>
      <c r="AM31" s="54">
        <f t="array" ref="AM31">-(IF(AM$2=1,Assumptions!$H32/12,-(SUMIF($D$2:$EE$2,AM$2-1,$D31:$EE31)/12)*(1+XLOOKUP(AM$2,Assumptions!$C$94:$M$94,Assumptions!$C$98:$M$98))))</f>
        <v>-748.2284223</v>
      </c>
      <c r="AN31" s="54">
        <f t="array" ref="AN31">-(IF(AN$2=1,Assumptions!$H32/12,-(SUMIF($D$2:$EE$2,AN$2-1,$D31:$EE31)/12)*(1+XLOOKUP(AN$2,Assumptions!$C$94:$M$94,Assumptions!$C$98:$M$98))))</f>
        <v>-770.675275</v>
      </c>
      <c r="AO31" s="54">
        <f t="array" ref="AO31">-(IF(AO$2=1,Assumptions!$H32/12,-(SUMIF($D$2:$EE$2,AO$2-1,$D31:$EE31)/12)*(1+XLOOKUP(AO$2,Assumptions!$C$94:$M$94,Assumptions!$C$98:$M$98))))</f>
        <v>-770.675275</v>
      </c>
      <c r="AP31" s="54">
        <f t="array" ref="AP31">-(IF(AP$2=1,Assumptions!$H32/12,-(SUMIF($D$2:$EE$2,AP$2-1,$D31:$EE31)/12)*(1+XLOOKUP(AP$2,Assumptions!$C$94:$M$94,Assumptions!$C$98:$M$98))))</f>
        <v>-770.675275</v>
      </c>
      <c r="AQ31" s="54">
        <f t="array" ref="AQ31">-(IF(AQ$2=1,Assumptions!$H32/12,-(SUMIF($D$2:$EE$2,AQ$2-1,$D31:$EE31)/12)*(1+XLOOKUP(AQ$2,Assumptions!$C$94:$M$94,Assumptions!$C$98:$M$98))))</f>
        <v>-770.675275</v>
      </c>
      <c r="AR31" s="54">
        <f t="array" ref="AR31">-(IF(AR$2=1,Assumptions!$H32/12,-(SUMIF($D$2:$EE$2,AR$2-1,$D31:$EE31)/12)*(1+XLOOKUP(AR$2,Assumptions!$C$94:$M$94,Assumptions!$C$98:$M$98))))</f>
        <v>-770.675275</v>
      </c>
      <c r="AS31" s="54">
        <f t="array" ref="AS31">-(IF(AS$2=1,Assumptions!$H32/12,-(SUMIF($D$2:$EE$2,AS$2-1,$D31:$EE31)/12)*(1+XLOOKUP(AS$2,Assumptions!$C$94:$M$94,Assumptions!$C$98:$M$98))))</f>
        <v>-770.675275</v>
      </c>
      <c r="AT31" s="54">
        <f t="array" ref="AT31">-(IF(AT$2=1,Assumptions!$H32/12,-(SUMIF($D$2:$EE$2,AT$2-1,$D31:$EE31)/12)*(1+XLOOKUP(AT$2,Assumptions!$C$94:$M$94,Assumptions!$C$98:$M$98))))</f>
        <v>-770.675275</v>
      </c>
      <c r="AU31" s="54">
        <f t="array" ref="AU31">-(IF(AU$2=1,Assumptions!$H32/12,-(SUMIF($D$2:$EE$2,AU$2-1,$D31:$EE31)/12)*(1+XLOOKUP(AU$2,Assumptions!$C$94:$M$94,Assumptions!$C$98:$M$98))))</f>
        <v>-770.675275</v>
      </c>
      <c r="AV31" s="54">
        <f t="array" ref="AV31">-(IF(AV$2=1,Assumptions!$H32/12,-(SUMIF($D$2:$EE$2,AV$2-1,$D31:$EE31)/12)*(1+XLOOKUP(AV$2,Assumptions!$C$94:$M$94,Assumptions!$C$98:$M$98))))</f>
        <v>-770.675275</v>
      </c>
      <c r="AW31" s="54">
        <f t="array" ref="AW31">-(IF(AW$2=1,Assumptions!$H32/12,-(SUMIF($D$2:$EE$2,AW$2-1,$D31:$EE31)/12)*(1+XLOOKUP(AW$2,Assumptions!$C$94:$M$94,Assumptions!$C$98:$M$98))))</f>
        <v>-770.675275</v>
      </c>
      <c r="AX31" s="54">
        <f t="array" ref="AX31">-(IF(AX$2=1,Assumptions!$H32/12,-(SUMIF($D$2:$EE$2,AX$2-1,$D31:$EE31)/12)*(1+XLOOKUP(AX$2,Assumptions!$C$94:$M$94,Assumptions!$C$98:$M$98))))</f>
        <v>-770.675275</v>
      </c>
      <c r="AY31" s="54">
        <f t="array" ref="AY31">-(IF(AY$2=1,Assumptions!$H32/12,-(SUMIF($D$2:$EE$2,AY$2-1,$D31:$EE31)/12)*(1+XLOOKUP(AY$2,Assumptions!$C$94:$M$94,Assumptions!$C$98:$M$98))))</f>
        <v>-770.675275</v>
      </c>
      <c r="AZ31" s="54">
        <f t="array" ref="AZ31">-(IF(AZ$2=1,Assumptions!$H32/12,-(SUMIF($D$2:$EE$2,AZ$2-1,$D31:$EE31)/12)*(1+XLOOKUP(AZ$2,Assumptions!$C$94:$M$94,Assumptions!$C$98:$M$98))))</f>
        <v>-793.7955333</v>
      </c>
      <c r="BA31" s="54">
        <f t="array" ref="BA31">-(IF(BA$2=1,Assumptions!$H32/12,-(SUMIF($D$2:$EE$2,BA$2-1,$D31:$EE31)/12)*(1+XLOOKUP(BA$2,Assumptions!$C$94:$M$94,Assumptions!$C$98:$M$98))))</f>
        <v>-793.7955333</v>
      </c>
      <c r="BB31" s="54">
        <f t="array" ref="BB31">-(IF(BB$2=1,Assumptions!$H32/12,-(SUMIF($D$2:$EE$2,BB$2-1,$D31:$EE31)/12)*(1+XLOOKUP(BB$2,Assumptions!$C$94:$M$94,Assumptions!$C$98:$M$98))))</f>
        <v>-793.7955333</v>
      </c>
      <c r="BC31" s="54">
        <f t="array" ref="BC31">-(IF(BC$2=1,Assumptions!$H32/12,-(SUMIF($D$2:$EE$2,BC$2-1,$D31:$EE31)/12)*(1+XLOOKUP(BC$2,Assumptions!$C$94:$M$94,Assumptions!$C$98:$M$98))))</f>
        <v>-793.7955333</v>
      </c>
      <c r="BD31" s="54">
        <f t="array" ref="BD31">-(IF(BD$2=1,Assumptions!$H32/12,-(SUMIF($D$2:$EE$2,BD$2-1,$D31:$EE31)/12)*(1+XLOOKUP(BD$2,Assumptions!$C$94:$M$94,Assumptions!$C$98:$M$98))))</f>
        <v>-793.7955333</v>
      </c>
      <c r="BE31" s="54">
        <f t="array" ref="BE31">-(IF(BE$2=1,Assumptions!$H32/12,-(SUMIF($D$2:$EE$2,BE$2-1,$D31:$EE31)/12)*(1+XLOOKUP(BE$2,Assumptions!$C$94:$M$94,Assumptions!$C$98:$M$98))))</f>
        <v>-793.7955333</v>
      </c>
      <c r="BF31" s="54">
        <f t="array" ref="BF31">-(IF(BF$2=1,Assumptions!$H32/12,-(SUMIF($D$2:$EE$2,BF$2-1,$D31:$EE31)/12)*(1+XLOOKUP(BF$2,Assumptions!$C$94:$M$94,Assumptions!$C$98:$M$98))))</f>
        <v>-793.7955333</v>
      </c>
      <c r="BG31" s="54">
        <f t="array" ref="BG31">-(IF(BG$2=1,Assumptions!$H32/12,-(SUMIF($D$2:$EE$2,BG$2-1,$D31:$EE31)/12)*(1+XLOOKUP(BG$2,Assumptions!$C$94:$M$94,Assumptions!$C$98:$M$98))))</f>
        <v>-793.7955333</v>
      </c>
      <c r="BH31" s="54">
        <f t="array" ref="BH31">-(IF(BH$2=1,Assumptions!$H32/12,-(SUMIF($D$2:$EE$2,BH$2-1,$D31:$EE31)/12)*(1+XLOOKUP(BH$2,Assumptions!$C$94:$M$94,Assumptions!$C$98:$M$98))))</f>
        <v>-793.7955333</v>
      </c>
      <c r="BI31" s="54">
        <f t="array" ref="BI31">-(IF(BI$2=1,Assumptions!$H32/12,-(SUMIF($D$2:$EE$2,BI$2-1,$D31:$EE31)/12)*(1+XLOOKUP(BI$2,Assumptions!$C$94:$M$94,Assumptions!$C$98:$M$98))))</f>
        <v>-793.7955333</v>
      </c>
      <c r="BJ31" s="54">
        <f t="array" ref="BJ31">-(IF(BJ$2=1,Assumptions!$H32/12,-(SUMIF($D$2:$EE$2,BJ$2-1,$D31:$EE31)/12)*(1+XLOOKUP(BJ$2,Assumptions!$C$94:$M$94,Assumptions!$C$98:$M$98))))</f>
        <v>-793.7955333</v>
      </c>
      <c r="BK31" s="54">
        <f t="array" ref="BK31">-(IF(BK$2=1,Assumptions!$H32/12,-(SUMIF($D$2:$EE$2,BK$2-1,$D31:$EE31)/12)*(1+XLOOKUP(BK$2,Assumptions!$C$94:$M$94,Assumptions!$C$98:$M$98))))</f>
        <v>-793.7955333</v>
      </c>
      <c r="BL31" s="54">
        <f t="array" ref="BL31">-(IF(BL$2=1,Assumptions!$H32/12,-(SUMIF($D$2:$EE$2,BL$2-1,$D31:$EE31)/12)*(1+XLOOKUP(BL$2,Assumptions!$C$94:$M$94,Assumptions!$C$98:$M$98))))</f>
        <v>-817.6093993</v>
      </c>
      <c r="BM31" s="54">
        <f t="array" ref="BM31">-(IF(BM$2=1,Assumptions!$H32/12,-(SUMIF($D$2:$EE$2,BM$2-1,$D31:$EE31)/12)*(1+XLOOKUP(BM$2,Assumptions!$C$94:$M$94,Assumptions!$C$98:$M$98))))</f>
        <v>-817.6093993</v>
      </c>
      <c r="BN31" s="54">
        <f t="array" ref="BN31">-(IF(BN$2=1,Assumptions!$H32/12,-(SUMIF($D$2:$EE$2,BN$2-1,$D31:$EE31)/12)*(1+XLOOKUP(BN$2,Assumptions!$C$94:$M$94,Assumptions!$C$98:$M$98))))</f>
        <v>-817.6093993</v>
      </c>
      <c r="BO31" s="54">
        <f t="array" ref="BO31">-(IF(BO$2=1,Assumptions!$H32/12,-(SUMIF($D$2:$EE$2,BO$2-1,$D31:$EE31)/12)*(1+XLOOKUP(BO$2,Assumptions!$C$94:$M$94,Assumptions!$C$98:$M$98))))</f>
        <v>-817.6093993</v>
      </c>
      <c r="BP31" s="54">
        <f t="array" ref="BP31">-(IF(BP$2=1,Assumptions!$H32/12,-(SUMIF($D$2:$EE$2,BP$2-1,$D31:$EE31)/12)*(1+XLOOKUP(BP$2,Assumptions!$C$94:$M$94,Assumptions!$C$98:$M$98))))</f>
        <v>-817.6093993</v>
      </c>
      <c r="BQ31" s="54">
        <f t="array" ref="BQ31">-(IF(BQ$2=1,Assumptions!$H32/12,-(SUMIF($D$2:$EE$2,BQ$2-1,$D31:$EE31)/12)*(1+XLOOKUP(BQ$2,Assumptions!$C$94:$M$94,Assumptions!$C$98:$M$98))))</f>
        <v>-817.6093993</v>
      </c>
      <c r="BR31" s="54">
        <f t="array" ref="BR31">-(IF(BR$2=1,Assumptions!$H32/12,-(SUMIF($D$2:$EE$2,BR$2-1,$D31:$EE31)/12)*(1+XLOOKUP(BR$2,Assumptions!$C$94:$M$94,Assumptions!$C$98:$M$98))))</f>
        <v>-817.6093993</v>
      </c>
      <c r="BS31" s="54">
        <f t="array" ref="BS31">-(IF(BS$2=1,Assumptions!$H32/12,-(SUMIF($D$2:$EE$2,BS$2-1,$D31:$EE31)/12)*(1+XLOOKUP(BS$2,Assumptions!$C$94:$M$94,Assumptions!$C$98:$M$98))))</f>
        <v>-817.6093993</v>
      </c>
      <c r="BT31" s="54">
        <f t="array" ref="BT31">-(IF(BT$2=1,Assumptions!$H32/12,-(SUMIF($D$2:$EE$2,BT$2-1,$D31:$EE31)/12)*(1+XLOOKUP(BT$2,Assumptions!$C$94:$M$94,Assumptions!$C$98:$M$98))))</f>
        <v>-817.6093993</v>
      </c>
      <c r="BU31" s="54">
        <f t="array" ref="BU31">-(IF(BU$2=1,Assumptions!$H32/12,-(SUMIF($D$2:$EE$2,BU$2-1,$D31:$EE31)/12)*(1+XLOOKUP(BU$2,Assumptions!$C$94:$M$94,Assumptions!$C$98:$M$98))))</f>
        <v>-817.6093993</v>
      </c>
      <c r="BV31" s="54">
        <f t="array" ref="BV31">-(IF(BV$2=1,Assumptions!$H32/12,-(SUMIF($D$2:$EE$2,BV$2-1,$D31:$EE31)/12)*(1+XLOOKUP(BV$2,Assumptions!$C$94:$M$94,Assumptions!$C$98:$M$98))))</f>
        <v>-817.6093993</v>
      </c>
      <c r="BW31" s="54">
        <f t="array" ref="BW31">-(IF(BW$2=1,Assumptions!$H32/12,-(SUMIF($D$2:$EE$2,BW$2-1,$D31:$EE31)/12)*(1+XLOOKUP(BW$2,Assumptions!$C$94:$M$94,Assumptions!$C$98:$M$98))))</f>
        <v>-817.6093993</v>
      </c>
      <c r="BX31" s="54">
        <f t="array" ref="BX31">-(IF(BX$2=1,Assumptions!$H32/12,-(SUMIF($D$2:$EE$2,BX$2-1,$D31:$EE31)/12)*(1+XLOOKUP(BX$2,Assumptions!$C$94:$M$94,Assumptions!$C$98:$M$98))))</f>
        <v>-842.1376812</v>
      </c>
      <c r="BY31" s="54">
        <f t="array" ref="BY31">-(IF(BY$2=1,Assumptions!$H32/12,-(SUMIF($D$2:$EE$2,BY$2-1,$D31:$EE31)/12)*(1+XLOOKUP(BY$2,Assumptions!$C$94:$M$94,Assumptions!$C$98:$M$98))))</f>
        <v>-842.1376812</v>
      </c>
      <c r="BZ31" s="54">
        <f t="array" ref="BZ31">-(IF(BZ$2=1,Assumptions!$H32/12,-(SUMIF($D$2:$EE$2,BZ$2-1,$D31:$EE31)/12)*(1+XLOOKUP(BZ$2,Assumptions!$C$94:$M$94,Assumptions!$C$98:$M$98))))</f>
        <v>-842.1376812</v>
      </c>
      <c r="CA31" s="54">
        <f t="array" ref="CA31">-(IF(CA$2=1,Assumptions!$H32/12,-(SUMIF($D$2:$EE$2,CA$2-1,$D31:$EE31)/12)*(1+XLOOKUP(CA$2,Assumptions!$C$94:$M$94,Assumptions!$C$98:$M$98))))</f>
        <v>-842.1376812</v>
      </c>
      <c r="CB31" s="54">
        <f t="array" ref="CB31">-(IF(CB$2=1,Assumptions!$H32/12,-(SUMIF($D$2:$EE$2,CB$2-1,$D31:$EE31)/12)*(1+XLOOKUP(CB$2,Assumptions!$C$94:$M$94,Assumptions!$C$98:$M$98))))</f>
        <v>-842.1376812</v>
      </c>
      <c r="CC31" s="54">
        <f t="array" ref="CC31">-(IF(CC$2=1,Assumptions!$H32/12,-(SUMIF($D$2:$EE$2,CC$2-1,$D31:$EE31)/12)*(1+XLOOKUP(CC$2,Assumptions!$C$94:$M$94,Assumptions!$C$98:$M$98))))</f>
        <v>-842.1376812</v>
      </c>
      <c r="CD31" s="54">
        <f t="array" ref="CD31">-(IF(CD$2=1,Assumptions!$H32/12,-(SUMIF($D$2:$EE$2,CD$2-1,$D31:$EE31)/12)*(1+XLOOKUP(CD$2,Assumptions!$C$94:$M$94,Assumptions!$C$98:$M$98))))</f>
        <v>-842.1376812</v>
      </c>
      <c r="CE31" s="54">
        <f t="array" ref="CE31">-(IF(CE$2=1,Assumptions!$H32/12,-(SUMIF($D$2:$EE$2,CE$2-1,$D31:$EE31)/12)*(1+XLOOKUP(CE$2,Assumptions!$C$94:$M$94,Assumptions!$C$98:$M$98))))</f>
        <v>-842.1376812</v>
      </c>
      <c r="CF31" s="54">
        <f t="array" ref="CF31">-(IF(CF$2=1,Assumptions!$H32/12,-(SUMIF($D$2:$EE$2,CF$2-1,$D31:$EE31)/12)*(1+XLOOKUP(CF$2,Assumptions!$C$94:$M$94,Assumptions!$C$98:$M$98))))</f>
        <v>-842.1376812</v>
      </c>
      <c r="CG31" s="54">
        <f t="array" ref="CG31">-(IF(CG$2=1,Assumptions!$H32/12,-(SUMIF($D$2:$EE$2,CG$2-1,$D31:$EE31)/12)*(1+XLOOKUP(CG$2,Assumptions!$C$94:$M$94,Assumptions!$C$98:$M$98))))</f>
        <v>-842.1376812</v>
      </c>
      <c r="CH31" s="54">
        <f t="array" ref="CH31">-(IF(CH$2=1,Assumptions!$H32/12,-(SUMIF($D$2:$EE$2,CH$2-1,$D31:$EE31)/12)*(1+XLOOKUP(CH$2,Assumptions!$C$94:$M$94,Assumptions!$C$98:$M$98))))</f>
        <v>-842.1376812</v>
      </c>
      <c r="CI31" s="54">
        <f t="array" ref="CI31">-(IF(CI$2=1,Assumptions!$H32/12,-(SUMIF($D$2:$EE$2,CI$2-1,$D31:$EE31)/12)*(1+XLOOKUP(CI$2,Assumptions!$C$94:$M$94,Assumptions!$C$98:$M$98))))</f>
        <v>-842.1376812</v>
      </c>
      <c r="CJ31" s="54">
        <f t="array" ref="CJ31">-(IF(CJ$2=1,Assumptions!$H32/12,-(SUMIF($D$2:$EE$2,CJ$2-1,$D31:$EE31)/12)*(1+XLOOKUP(CJ$2,Assumptions!$C$94:$M$94,Assumptions!$C$98:$M$98))))</f>
        <v>-867.4018117</v>
      </c>
      <c r="CK31" s="54">
        <f t="array" ref="CK31">-(IF(CK$2=1,Assumptions!$H32/12,-(SUMIF($D$2:$EE$2,CK$2-1,$D31:$EE31)/12)*(1+XLOOKUP(CK$2,Assumptions!$C$94:$M$94,Assumptions!$C$98:$M$98))))</f>
        <v>-867.4018117</v>
      </c>
      <c r="CL31" s="54">
        <f t="array" ref="CL31">-(IF(CL$2=1,Assumptions!$H32/12,-(SUMIF($D$2:$EE$2,CL$2-1,$D31:$EE31)/12)*(1+XLOOKUP(CL$2,Assumptions!$C$94:$M$94,Assumptions!$C$98:$M$98))))</f>
        <v>-867.4018117</v>
      </c>
      <c r="CM31" s="54">
        <f t="array" ref="CM31">-(IF(CM$2=1,Assumptions!$H32/12,-(SUMIF($D$2:$EE$2,CM$2-1,$D31:$EE31)/12)*(1+XLOOKUP(CM$2,Assumptions!$C$94:$M$94,Assumptions!$C$98:$M$98))))</f>
        <v>-867.4018117</v>
      </c>
      <c r="CN31" s="54">
        <f t="array" ref="CN31">-(IF(CN$2=1,Assumptions!$H32/12,-(SUMIF($D$2:$EE$2,CN$2-1,$D31:$EE31)/12)*(1+XLOOKUP(CN$2,Assumptions!$C$94:$M$94,Assumptions!$C$98:$M$98))))</f>
        <v>-867.4018117</v>
      </c>
      <c r="CO31" s="54">
        <f t="array" ref="CO31">-(IF(CO$2=1,Assumptions!$H32/12,-(SUMIF($D$2:$EE$2,CO$2-1,$D31:$EE31)/12)*(1+XLOOKUP(CO$2,Assumptions!$C$94:$M$94,Assumptions!$C$98:$M$98))))</f>
        <v>-867.4018117</v>
      </c>
      <c r="CP31" s="54">
        <f t="array" ref="CP31">-(IF(CP$2=1,Assumptions!$H32/12,-(SUMIF($D$2:$EE$2,CP$2-1,$D31:$EE31)/12)*(1+XLOOKUP(CP$2,Assumptions!$C$94:$M$94,Assumptions!$C$98:$M$98))))</f>
        <v>-867.4018117</v>
      </c>
      <c r="CQ31" s="54">
        <f t="array" ref="CQ31">-(IF(CQ$2=1,Assumptions!$H32/12,-(SUMIF($D$2:$EE$2,CQ$2-1,$D31:$EE31)/12)*(1+XLOOKUP(CQ$2,Assumptions!$C$94:$M$94,Assumptions!$C$98:$M$98))))</f>
        <v>-867.4018117</v>
      </c>
      <c r="CR31" s="54">
        <f t="array" ref="CR31">-(IF(CR$2=1,Assumptions!$H32/12,-(SUMIF($D$2:$EE$2,CR$2-1,$D31:$EE31)/12)*(1+XLOOKUP(CR$2,Assumptions!$C$94:$M$94,Assumptions!$C$98:$M$98))))</f>
        <v>-867.4018117</v>
      </c>
      <c r="CS31" s="54">
        <f t="array" ref="CS31">-(IF(CS$2=1,Assumptions!$H32/12,-(SUMIF($D$2:$EE$2,CS$2-1,$D31:$EE31)/12)*(1+XLOOKUP(CS$2,Assumptions!$C$94:$M$94,Assumptions!$C$98:$M$98))))</f>
        <v>-867.4018117</v>
      </c>
      <c r="CT31" s="54">
        <f t="array" ref="CT31">-(IF(CT$2=1,Assumptions!$H32/12,-(SUMIF($D$2:$EE$2,CT$2-1,$D31:$EE31)/12)*(1+XLOOKUP(CT$2,Assumptions!$C$94:$M$94,Assumptions!$C$98:$M$98))))</f>
        <v>-867.4018117</v>
      </c>
      <c r="CU31" s="54">
        <f t="array" ref="CU31">-(IF(CU$2=1,Assumptions!$H32/12,-(SUMIF($D$2:$EE$2,CU$2-1,$D31:$EE31)/12)*(1+XLOOKUP(CU$2,Assumptions!$C$94:$M$94,Assumptions!$C$98:$M$98))))</f>
        <v>-867.4018117</v>
      </c>
      <c r="CV31" s="54">
        <f t="array" ref="CV31">-(IF(CV$2=1,Assumptions!$H32/12,-(SUMIF($D$2:$EE$2,CV$2-1,$D31:$EE31)/12)*(1+XLOOKUP(CV$2,Assumptions!$C$94:$M$94,Assumptions!$C$98:$M$98))))</f>
        <v>-893.423866</v>
      </c>
      <c r="CW31" s="54">
        <f t="array" ref="CW31">-(IF(CW$2=1,Assumptions!$H32/12,-(SUMIF($D$2:$EE$2,CW$2-1,$D31:$EE31)/12)*(1+XLOOKUP(CW$2,Assumptions!$C$94:$M$94,Assumptions!$C$98:$M$98))))</f>
        <v>-893.423866</v>
      </c>
      <c r="CX31" s="54">
        <f t="array" ref="CX31">-(IF(CX$2=1,Assumptions!$H32/12,-(SUMIF($D$2:$EE$2,CX$2-1,$D31:$EE31)/12)*(1+XLOOKUP(CX$2,Assumptions!$C$94:$M$94,Assumptions!$C$98:$M$98))))</f>
        <v>-893.423866</v>
      </c>
      <c r="CY31" s="54">
        <f t="array" ref="CY31">-(IF(CY$2=1,Assumptions!$H32/12,-(SUMIF($D$2:$EE$2,CY$2-1,$D31:$EE31)/12)*(1+XLOOKUP(CY$2,Assumptions!$C$94:$M$94,Assumptions!$C$98:$M$98))))</f>
        <v>-893.423866</v>
      </c>
      <c r="CZ31" s="54">
        <f t="array" ref="CZ31">-(IF(CZ$2=1,Assumptions!$H32/12,-(SUMIF($D$2:$EE$2,CZ$2-1,$D31:$EE31)/12)*(1+XLOOKUP(CZ$2,Assumptions!$C$94:$M$94,Assumptions!$C$98:$M$98))))</f>
        <v>-893.423866</v>
      </c>
      <c r="DA31" s="54">
        <f t="array" ref="DA31">-(IF(DA$2=1,Assumptions!$H32/12,-(SUMIF($D$2:$EE$2,DA$2-1,$D31:$EE31)/12)*(1+XLOOKUP(DA$2,Assumptions!$C$94:$M$94,Assumptions!$C$98:$M$98))))</f>
        <v>-893.423866</v>
      </c>
      <c r="DB31" s="54">
        <f t="array" ref="DB31">-(IF(DB$2=1,Assumptions!$H32/12,-(SUMIF($D$2:$EE$2,DB$2-1,$D31:$EE31)/12)*(1+XLOOKUP(DB$2,Assumptions!$C$94:$M$94,Assumptions!$C$98:$M$98))))</f>
        <v>-893.423866</v>
      </c>
      <c r="DC31" s="54">
        <f t="array" ref="DC31">-(IF(DC$2=1,Assumptions!$H32/12,-(SUMIF($D$2:$EE$2,DC$2-1,$D31:$EE31)/12)*(1+XLOOKUP(DC$2,Assumptions!$C$94:$M$94,Assumptions!$C$98:$M$98))))</f>
        <v>-893.423866</v>
      </c>
      <c r="DD31" s="54">
        <f t="array" ref="DD31">-(IF(DD$2=1,Assumptions!$H32/12,-(SUMIF($D$2:$EE$2,DD$2-1,$D31:$EE31)/12)*(1+XLOOKUP(DD$2,Assumptions!$C$94:$M$94,Assumptions!$C$98:$M$98))))</f>
        <v>-893.423866</v>
      </c>
      <c r="DE31" s="54">
        <f t="array" ref="DE31">-(IF(DE$2=1,Assumptions!$H32/12,-(SUMIF($D$2:$EE$2,DE$2-1,$D31:$EE31)/12)*(1+XLOOKUP(DE$2,Assumptions!$C$94:$M$94,Assumptions!$C$98:$M$98))))</f>
        <v>-893.423866</v>
      </c>
      <c r="DF31" s="54">
        <f t="array" ref="DF31">-(IF(DF$2=1,Assumptions!$H32/12,-(SUMIF($D$2:$EE$2,DF$2-1,$D31:$EE31)/12)*(1+XLOOKUP(DF$2,Assumptions!$C$94:$M$94,Assumptions!$C$98:$M$98))))</f>
        <v>-893.423866</v>
      </c>
      <c r="DG31" s="54">
        <f t="array" ref="DG31">-(IF(DG$2=1,Assumptions!$H32/12,-(SUMIF($D$2:$EE$2,DG$2-1,$D31:$EE31)/12)*(1+XLOOKUP(DG$2,Assumptions!$C$94:$M$94,Assumptions!$C$98:$M$98))))</f>
        <v>-893.423866</v>
      </c>
      <c r="DH31" s="54">
        <f t="array" ref="DH31">-(IF(DH$2=1,Assumptions!$H32/12,-(SUMIF($D$2:$EE$2,DH$2-1,$D31:$EE31)/12)*(1+XLOOKUP(DH$2,Assumptions!$C$94:$M$94,Assumptions!$C$98:$M$98))))</f>
        <v>-920.226582</v>
      </c>
      <c r="DI31" s="54">
        <f t="array" ref="DI31">-(IF(DI$2=1,Assumptions!$H32/12,-(SUMIF($D$2:$EE$2,DI$2-1,$D31:$EE31)/12)*(1+XLOOKUP(DI$2,Assumptions!$C$94:$M$94,Assumptions!$C$98:$M$98))))</f>
        <v>-920.226582</v>
      </c>
      <c r="DJ31" s="54">
        <f t="array" ref="DJ31">-(IF(DJ$2=1,Assumptions!$H32/12,-(SUMIF($D$2:$EE$2,DJ$2-1,$D31:$EE31)/12)*(1+XLOOKUP(DJ$2,Assumptions!$C$94:$M$94,Assumptions!$C$98:$M$98))))</f>
        <v>-920.226582</v>
      </c>
      <c r="DK31" s="54">
        <f t="array" ref="DK31">-(IF(DK$2=1,Assumptions!$H32/12,-(SUMIF($D$2:$EE$2,DK$2-1,$D31:$EE31)/12)*(1+XLOOKUP(DK$2,Assumptions!$C$94:$M$94,Assumptions!$C$98:$M$98))))</f>
        <v>-920.226582</v>
      </c>
      <c r="DL31" s="54">
        <f t="array" ref="DL31">-(IF(DL$2=1,Assumptions!$H32/12,-(SUMIF($D$2:$EE$2,DL$2-1,$D31:$EE31)/12)*(1+XLOOKUP(DL$2,Assumptions!$C$94:$M$94,Assumptions!$C$98:$M$98))))</f>
        <v>-920.226582</v>
      </c>
      <c r="DM31" s="54">
        <f t="array" ref="DM31">-(IF(DM$2=1,Assumptions!$H32/12,-(SUMIF($D$2:$EE$2,DM$2-1,$D31:$EE31)/12)*(1+XLOOKUP(DM$2,Assumptions!$C$94:$M$94,Assumptions!$C$98:$M$98))))</f>
        <v>-920.226582</v>
      </c>
      <c r="DN31" s="54">
        <f t="array" ref="DN31">-(IF(DN$2=1,Assumptions!$H32/12,-(SUMIF($D$2:$EE$2,DN$2-1,$D31:$EE31)/12)*(1+XLOOKUP(DN$2,Assumptions!$C$94:$M$94,Assumptions!$C$98:$M$98))))</f>
        <v>-920.226582</v>
      </c>
      <c r="DO31" s="54">
        <f t="array" ref="DO31">-(IF(DO$2=1,Assumptions!$H32/12,-(SUMIF($D$2:$EE$2,DO$2-1,$D31:$EE31)/12)*(1+XLOOKUP(DO$2,Assumptions!$C$94:$M$94,Assumptions!$C$98:$M$98))))</f>
        <v>-920.226582</v>
      </c>
      <c r="DP31" s="54">
        <f t="array" ref="DP31">-(IF(DP$2=1,Assumptions!$H32/12,-(SUMIF($D$2:$EE$2,DP$2-1,$D31:$EE31)/12)*(1+XLOOKUP(DP$2,Assumptions!$C$94:$M$94,Assumptions!$C$98:$M$98))))</f>
        <v>-920.226582</v>
      </c>
      <c r="DQ31" s="54">
        <f t="array" ref="DQ31">-(IF(DQ$2=1,Assumptions!$H32/12,-(SUMIF($D$2:$EE$2,DQ$2-1,$D31:$EE31)/12)*(1+XLOOKUP(DQ$2,Assumptions!$C$94:$M$94,Assumptions!$C$98:$M$98))))</f>
        <v>-920.226582</v>
      </c>
      <c r="DR31" s="54">
        <f t="array" ref="DR31">-(IF(DR$2=1,Assumptions!$H32/12,-(SUMIF($D$2:$EE$2,DR$2-1,$D31:$EE31)/12)*(1+XLOOKUP(DR$2,Assumptions!$C$94:$M$94,Assumptions!$C$98:$M$98))))</f>
        <v>-920.226582</v>
      </c>
      <c r="DS31" s="54">
        <f t="array" ref="DS31">-(IF(DS$2=1,Assumptions!$H32/12,-(SUMIF($D$2:$EE$2,DS$2-1,$D31:$EE31)/12)*(1+XLOOKUP(DS$2,Assumptions!$C$94:$M$94,Assumptions!$C$98:$M$98))))</f>
        <v>-920.226582</v>
      </c>
      <c r="DT31" s="54">
        <f t="array" ref="DT31">-(IF(DT$2=1,Assumptions!$H32/12,-(SUMIF($D$2:$EE$2,DT$2-1,$D31:$EE31)/12)*(1+XLOOKUP(DT$2,Assumptions!$C$94:$M$94,Assumptions!$C$98:$M$98))))</f>
        <v>-947.8333795</v>
      </c>
      <c r="DU31" s="54">
        <f t="array" ref="DU31">-(IF(DU$2=1,Assumptions!$H32/12,-(SUMIF($D$2:$EE$2,DU$2-1,$D31:$EE31)/12)*(1+XLOOKUP(DU$2,Assumptions!$C$94:$M$94,Assumptions!$C$98:$M$98))))</f>
        <v>-947.8333795</v>
      </c>
      <c r="DV31" s="54">
        <f t="array" ref="DV31">-(IF(DV$2=1,Assumptions!$H32/12,-(SUMIF($D$2:$EE$2,DV$2-1,$D31:$EE31)/12)*(1+XLOOKUP(DV$2,Assumptions!$C$94:$M$94,Assumptions!$C$98:$M$98))))</f>
        <v>-947.8333795</v>
      </c>
      <c r="DW31" s="54">
        <f t="array" ref="DW31">-(IF(DW$2=1,Assumptions!$H32/12,-(SUMIF($D$2:$EE$2,DW$2-1,$D31:$EE31)/12)*(1+XLOOKUP(DW$2,Assumptions!$C$94:$M$94,Assumptions!$C$98:$M$98))))</f>
        <v>-947.8333795</v>
      </c>
      <c r="DX31" s="54">
        <f t="array" ref="DX31">-(IF(DX$2=1,Assumptions!$H32/12,-(SUMIF($D$2:$EE$2,DX$2-1,$D31:$EE31)/12)*(1+XLOOKUP(DX$2,Assumptions!$C$94:$M$94,Assumptions!$C$98:$M$98))))</f>
        <v>-947.8333795</v>
      </c>
      <c r="DY31" s="54">
        <f t="array" ref="DY31">-(IF(DY$2=1,Assumptions!$H32/12,-(SUMIF($D$2:$EE$2,DY$2-1,$D31:$EE31)/12)*(1+XLOOKUP(DY$2,Assumptions!$C$94:$M$94,Assumptions!$C$98:$M$98))))</f>
        <v>-947.8333795</v>
      </c>
      <c r="DZ31" s="54">
        <f t="array" ref="DZ31">-(IF(DZ$2=1,Assumptions!$H32/12,-(SUMIF($D$2:$EE$2,DZ$2-1,$D31:$EE31)/12)*(1+XLOOKUP(DZ$2,Assumptions!$C$94:$M$94,Assumptions!$C$98:$M$98))))</f>
        <v>-947.8333795</v>
      </c>
      <c r="EA31" s="54">
        <f t="array" ref="EA31">-(IF(EA$2=1,Assumptions!$H32/12,-(SUMIF($D$2:$EE$2,EA$2-1,$D31:$EE31)/12)*(1+XLOOKUP(EA$2,Assumptions!$C$94:$M$94,Assumptions!$C$98:$M$98))))</f>
        <v>-947.8333795</v>
      </c>
      <c r="EB31" s="54">
        <f t="array" ref="EB31">-(IF(EB$2=1,Assumptions!$H32/12,-(SUMIF($D$2:$EE$2,EB$2-1,$D31:$EE31)/12)*(1+XLOOKUP(EB$2,Assumptions!$C$94:$M$94,Assumptions!$C$98:$M$98))))</f>
        <v>-947.8333795</v>
      </c>
      <c r="EC31" s="54">
        <f t="array" ref="EC31">-(IF(EC$2=1,Assumptions!$H32/12,-(SUMIF($D$2:$EE$2,EC$2-1,$D31:$EE31)/12)*(1+XLOOKUP(EC$2,Assumptions!$C$94:$M$94,Assumptions!$C$98:$M$98))))</f>
        <v>-947.8333795</v>
      </c>
      <c r="ED31" s="54">
        <f t="array" ref="ED31">-(IF(ED$2=1,Assumptions!$H32/12,-(SUMIF($D$2:$EE$2,ED$2-1,$D31:$EE31)/12)*(1+XLOOKUP(ED$2,Assumptions!$C$94:$M$94,Assumptions!$C$98:$M$98))))</f>
        <v>-947.8333795</v>
      </c>
      <c r="EE31" s="54">
        <f t="array" ref="EE31">-(IF(EE$2=1,Assumptions!$H32/12,-(SUMIF($D$2:$EE$2,EE$2-1,$D31:$EE31)/12)*(1+XLOOKUP(EE$2,Assumptions!$C$94:$M$94,Assumptions!$C$98:$M$98))))</f>
        <v>-947.8333795</v>
      </c>
    </row>
    <row r="32" ht="15.75" customHeight="1">
      <c r="A32" s="1"/>
      <c r="B32" s="1"/>
      <c r="C32" s="1" t="str">
        <f>Assumptions!B33</f>
        <v>Turnaround Expense</v>
      </c>
      <c r="D32" s="54">
        <f t="array" ref="D32">-(IF(D$2=1,Assumptions!$H33/12,-(SUMIF($D$2:$EE$2,D$2-1,$D32:$EE32)/12)*(1+XLOOKUP(D$2,Assumptions!$C$94:$M$94,Assumptions!$C$98:$M$98))))</f>
        <v>-948.0291667</v>
      </c>
      <c r="E32" s="54">
        <f t="array" ref="E32">-(IF(E$2=1,Assumptions!$H33/12,-(SUMIF($D$2:$EE$2,E$2-1,$D32:$EE32)/12)*(1+XLOOKUP(E$2,Assumptions!$C$94:$M$94,Assumptions!$C$98:$M$98))))</f>
        <v>-948.0291667</v>
      </c>
      <c r="F32" s="54">
        <f t="array" ref="F32">-(IF(F$2=1,Assumptions!$H33/12,-(SUMIF($D$2:$EE$2,F$2-1,$D32:$EE32)/12)*(1+XLOOKUP(F$2,Assumptions!$C$94:$M$94,Assumptions!$C$98:$M$98))))</f>
        <v>-948.0291667</v>
      </c>
      <c r="G32" s="54">
        <f t="array" ref="G32">-(IF(G$2=1,Assumptions!$H33/12,-(SUMIF($D$2:$EE$2,G$2-1,$D32:$EE32)/12)*(1+XLOOKUP(G$2,Assumptions!$C$94:$M$94,Assumptions!$C$98:$M$98))))</f>
        <v>-948.0291667</v>
      </c>
      <c r="H32" s="54">
        <f t="array" ref="H32">-(IF(H$2=1,Assumptions!$H33/12,-(SUMIF($D$2:$EE$2,H$2-1,$D32:$EE32)/12)*(1+XLOOKUP(H$2,Assumptions!$C$94:$M$94,Assumptions!$C$98:$M$98))))</f>
        <v>-948.0291667</v>
      </c>
      <c r="I32" s="54">
        <f t="array" ref="I32">-(IF(I$2=1,Assumptions!$H33/12,-(SUMIF($D$2:$EE$2,I$2-1,$D32:$EE32)/12)*(1+XLOOKUP(I$2,Assumptions!$C$94:$M$94,Assumptions!$C$98:$M$98))))</f>
        <v>-948.0291667</v>
      </c>
      <c r="J32" s="54">
        <f t="array" ref="J32">-(IF(J$2=1,Assumptions!$H33/12,-(SUMIF($D$2:$EE$2,J$2-1,$D32:$EE32)/12)*(1+XLOOKUP(J$2,Assumptions!$C$94:$M$94,Assumptions!$C$98:$M$98))))</f>
        <v>-948.0291667</v>
      </c>
      <c r="K32" s="54">
        <f t="array" ref="K32">-(IF(K$2=1,Assumptions!$H33/12,-(SUMIF($D$2:$EE$2,K$2-1,$D32:$EE32)/12)*(1+XLOOKUP(K$2,Assumptions!$C$94:$M$94,Assumptions!$C$98:$M$98))))</f>
        <v>-948.0291667</v>
      </c>
      <c r="L32" s="54">
        <f t="array" ref="L32">-(IF(L$2=1,Assumptions!$H33/12,-(SUMIF($D$2:$EE$2,L$2-1,$D32:$EE32)/12)*(1+XLOOKUP(L$2,Assumptions!$C$94:$M$94,Assumptions!$C$98:$M$98))))</f>
        <v>-948.0291667</v>
      </c>
      <c r="M32" s="54">
        <f t="array" ref="M32">-(IF(M$2=1,Assumptions!$H33/12,-(SUMIF($D$2:$EE$2,M$2-1,$D32:$EE32)/12)*(1+XLOOKUP(M$2,Assumptions!$C$94:$M$94,Assumptions!$C$98:$M$98))))</f>
        <v>-948.0291667</v>
      </c>
      <c r="N32" s="54">
        <f t="array" ref="N32">-(IF(N$2=1,Assumptions!$H33/12,-(SUMIF($D$2:$EE$2,N$2-1,$D32:$EE32)/12)*(1+XLOOKUP(N$2,Assumptions!$C$94:$M$94,Assumptions!$C$98:$M$98))))</f>
        <v>-948.0291667</v>
      </c>
      <c r="O32" s="54">
        <f t="array" ref="O32">-(IF(O$2=1,Assumptions!$H33/12,-(SUMIF($D$2:$EE$2,O$2-1,$D32:$EE32)/12)*(1+XLOOKUP(O$2,Assumptions!$C$94:$M$94,Assumptions!$C$98:$M$98))))</f>
        <v>-948.0291667</v>
      </c>
      <c r="P32" s="54">
        <f t="array" ref="P32">-(IF(P$2=1,Assumptions!$H33/12,-(SUMIF($D$2:$EE$2,P$2-1,$D32:$EE32)/12)*(1+XLOOKUP(P$2,Assumptions!$C$94:$M$94,Assumptions!$C$98:$M$98))))</f>
        <v>-976.4700417</v>
      </c>
      <c r="Q32" s="54">
        <f t="array" ref="Q32">-(IF(Q$2=1,Assumptions!$H33/12,-(SUMIF($D$2:$EE$2,Q$2-1,$D32:$EE32)/12)*(1+XLOOKUP(Q$2,Assumptions!$C$94:$M$94,Assumptions!$C$98:$M$98))))</f>
        <v>-976.4700417</v>
      </c>
      <c r="R32" s="54">
        <f t="array" ref="R32">-(IF(R$2=1,Assumptions!$H33/12,-(SUMIF($D$2:$EE$2,R$2-1,$D32:$EE32)/12)*(1+XLOOKUP(R$2,Assumptions!$C$94:$M$94,Assumptions!$C$98:$M$98))))</f>
        <v>-976.4700417</v>
      </c>
      <c r="S32" s="54">
        <f t="array" ref="S32">-(IF(S$2=1,Assumptions!$H33/12,-(SUMIF($D$2:$EE$2,S$2-1,$D32:$EE32)/12)*(1+XLOOKUP(S$2,Assumptions!$C$94:$M$94,Assumptions!$C$98:$M$98))))</f>
        <v>-976.4700417</v>
      </c>
      <c r="T32" s="54">
        <f t="array" ref="T32">-(IF(T$2=1,Assumptions!$H33/12,-(SUMIF($D$2:$EE$2,T$2-1,$D32:$EE32)/12)*(1+XLOOKUP(T$2,Assumptions!$C$94:$M$94,Assumptions!$C$98:$M$98))))</f>
        <v>-976.4700417</v>
      </c>
      <c r="U32" s="54">
        <f t="array" ref="U32">-(IF(U$2=1,Assumptions!$H33/12,-(SUMIF($D$2:$EE$2,U$2-1,$D32:$EE32)/12)*(1+XLOOKUP(U$2,Assumptions!$C$94:$M$94,Assumptions!$C$98:$M$98))))</f>
        <v>-976.4700417</v>
      </c>
      <c r="V32" s="54">
        <f t="array" ref="V32">-(IF(V$2=1,Assumptions!$H33/12,-(SUMIF($D$2:$EE$2,V$2-1,$D32:$EE32)/12)*(1+XLOOKUP(V$2,Assumptions!$C$94:$M$94,Assumptions!$C$98:$M$98))))</f>
        <v>-976.4700417</v>
      </c>
      <c r="W32" s="54">
        <f t="array" ref="W32">-(IF(W$2=1,Assumptions!$H33/12,-(SUMIF($D$2:$EE$2,W$2-1,$D32:$EE32)/12)*(1+XLOOKUP(W$2,Assumptions!$C$94:$M$94,Assumptions!$C$98:$M$98))))</f>
        <v>-976.4700417</v>
      </c>
      <c r="X32" s="54">
        <f t="array" ref="X32">-(IF(X$2=1,Assumptions!$H33/12,-(SUMIF($D$2:$EE$2,X$2-1,$D32:$EE32)/12)*(1+XLOOKUP(X$2,Assumptions!$C$94:$M$94,Assumptions!$C$98:$M$98))))</f>
        <v>-976.4700417</v>
      </c>
      <c r="Y32" s="54">
        <f t="array" ref="Y32">-(IF(Y$2=1,Assumptions!$H33/12,-(SUMIF($D$2:$EE$2,Y$2-1,$D32:$EE32)/12)*(1+XLOOKUP(Y$2,Assumptions!$C$94:$M$94,Assumptions!$C$98:$M$98))))</f>
        <v>-976.4700417</v>
      </c>
      <c r="Z32" s="54">
        <f t="array" ref="Z32">-(IF(Z$2=1,Assumptions!$H33/12,-(SUMIF($D$2:$EE$2,Z$2-1,$D32:$EE32)/12)*(1+XLOOKUP(Z$2,Assumptions!$C$94:$M$94,Assumptions!$C$98:$M$98))))</f>
        <v>-976.4700417</v>
      </c>
      <c r="AA32" s="54">
        <f t="array" ref="AA32">-(IF(AA$2=1,Assumptions!$H33/12,-(SUMIF($D$2:$EE$2,AA$2-1,$D32:$EE32)/12)*(1+XLOOKUP(AA$2,Assumptions!$C$94:$M$94,Assumptions!$C$98:$M$98))))</f>
        <v>-976.4700417</v>
      </c>
      <c r="AB32" s="54">
        <f t="array" ref="AB32">-(IF(AB$2=1,Assumptions!$H33/12,-(SUMIF($D$2:$EE$2,AB$2-1,$D32:$EE32)/12)*(1+XLOOKUP(AB$2,Assumptions!$C$94:$M$94,Assumptions!$C$98:$M$98))))</f>
        <v>-1005.764143</v>
      </c>
      <c r="AC32" s="54">
        <f t="array" ref="AC32">-(IF(AC$2=1,Assumptions!$H33/12,-(SUMIF($D$2:$EE$2,AC$2-1,$D32:$EE32)/12)*(1+XLOOKUP(AC$2,Assumptions!$C$94:$M$94,Assumptions!$C$98:$M$98))))</f>
        <v>-1005.764143</v>
      </c>
      <c r="AD32" s="54">
        <f t="array" ref="AD32">-(IF(AD$2=1,Assumptions!$H33/12,-(SUMIF($D$2:$EE$2,AD$2-1,$D32:$EE32)/12)*(1+XLOOKUP(AD$2,Assumptions!$C$94:$M$94,Assumptions!$C$98:$M$98))))</f>
        <v>-1005.764143</v>
      </c>
      <c r="AE32" s="54">
        <f t="array" ref="AE32">-(IF(AE$2=1,Assumptions!$H33/12,-(SUMIF($D$2:$EE$2,AE$2-1,$D32:$EE32)/12)*(1+XLOOKUP(AE$2,Assumptions!$C$94:$M$94,Assumptions!$C$98:$M$98))))</f>
        <v>-1005.764143</v>
      </c>
      <c r="AF32" s="54">
        <f t="array" ref="AF32">-(IF(AF$2=1,Assumptions!$H33/12,-(SUMIF($D$2:$EE$2,AF$2-1,$D32:$EE32)/12)*(1+XLOOKUP(AF$2,Assumptions!$C$94:$M$94,Assumptions!$C$98:$M$98))))</f>
        <v>-1005.764143</v>
      </c>
      <c r="AG32" s="54">
        <f t="array" ref="AG32">-(IF(AG$2=1,Assumptions!$H33/12,-(SUMIF($D$2:$EE$2,AG$2-1,$D32:$EE32)/12)*(1+XLOOKUP(AG$2,Assumptions!$C$94:$M$94,Assumptions!$C$98:$M$98))))</f>
        <v>-1005.764143</v>
      </c>
      <c r="AH32" s="54">
        <f t="array" ref="AH32">-(IF(AH$2=1,Assumptions!$H33/12,-(SUMIF($D$2:$EE$2,AH$2-1,$D32:$EE32)/12)*(1+XLOOKUP(AH$2,Assumptions!$C$94:$M$94,Assumptions!$C$98:$M$98))))</f>
        <v>-1005.764143</v>
      </c>
      <c r="AI32" s="54">
        <f t="array" ref="AI32">-(IF(AI$2=1,Assumptions!$H33/12,-(SUMIF($D$2:$EE$2,AI$2-1,$D32:$EE32)/12)*(1+XLOOKUP(AI$2,Assumptions!$C$94:$M$94,Assumptions!$C$98:$M$98))))</f>
        <v>-1005.764143</v>
      </c>
      <c r="AJ32" s="54">
        <f t="array" ref="AJ32">-(IF(AJ$2=1,Assumptions!$H33/12,-(SUMIF($D$2:$EE$2,AJ$2-1,$D32:$EE32)/12)*(1+XLOOKUP(AJ$2,Assumptions!$C$94:$M$94,Assumptions!$C$98:$M$98))))</f>
        <v>-1005.764143</v>
      </c>
      <c r="AK32" s="54">
        <f t="array" ref="AK32">-(IF(AK$2=1,Assumptions!$H33/12,-(SUMIF($D$2:$EE$2,AK$2-1,$D32:$EE32)/12)*(1+XLOOKUP(AK$2,Assumptions!$C$94:$M$94,Assumptions!$C$98:$M$98))))</f>
        <v>-1005.764143</v>
      </c>
      <c r="AL32" s="54">
        <f t="array" ref="AL32">-(IF(AL$2=1,Assumptions!$H33/12,-(SUMIF($D$2:$EE$2,AL$2-1,$D32:$EE32)/12)*(1+XLOOKUP(AL$2,Assumptions!$C$94:$M$94,Assumptions!$C$98:$M$98))))</f>
        <v>-1005.764143</v>
      </c>
      <c r="AM32" s="54">
        <f t="array" ref="AM32">-(IF(AM$2=1,Assumptions!$H33/12,-(SUMIF($D$2:$EE$2,AM$2-1,$D32:$EE32)/12)*(1+XLOOKUP(AM$2,Assumptions!$C$94:$M$94,Assumptions!$C$98:$M$98))))</f>
        <v>-1005.764143</v>
      </c>
      <c r="AN32" s="54">
        <f t="array" ref="AN32">-(IF(AN$2=1,Assumptions!$H33/12,-(SUMIF($D$2:$EE$2,AN$2-1,$D32:$EE32)/12)*(1+XLOOKUP(AN$2,Assumptions!$C$94:$M$94,Assumptions!$C$98:$M$98))))</f>
        <v>-1035.937067</v>
      </c>
      <c r="AO32" s="54">
        <f t="array" ref="AO32">-(IF(AO$2=1,Assumptions!$H33/12,-(SUMIF($D$2:$EE$2,AO$2-1,$D32:$EE32)/12)*(1+XLOOKUP(AO$2,Assumptions!$C$94:$M$94,Assumptions!$C$98:$M$98))))</f>
        <v>-1035.937067</v>
      </c>
      <c r="AP32" s="54">
        <f t="array" ref="AP32">-(IF(AP$2=1,Assumptions!$H33/12,-(SUMIF($D$2:$EE$2,AP$2-1,$D32:$EE32)/12)*(1+XLOOKUP(AP$2,Assumptions!$C$94:$M$94,Assumptions!$C$98:$M$98))))</f>
        <v>-1035.937067</v>
      </c>
      <c r="AQ32" s="54">
        <f t="array" ref="AQ32">-(IF(AQ$2=1,Assumptions!$H33/12,-(SUMIF($D$2:$EE$2,AQ$2-1,$D32:$EE32)/12)*(1+XLOOKUP(AQ$2,Assumptions!$C$94:$M$94,Assumptions!$C$98:$M$98))))</f>
        <v>-1035.937067</v>
      </c>
      <c r="AR32" s="54">
        <f t="array" ref="AR32">-(IF(AR$2=1,Assumptions!$H33/12,-(SUMIF($D$2:$EE$2,AR$2-1,$D32:$EE32)/12)*(1+XLOOKUP(AR$2,Assumptions!$C$94:$M$94,Assumptions!$C$98:$M$98))))</f>
        <v>-1035.937067</v>
      </c>
      <c r="AS32" s="54">
        <f t="array" ref="AS32">-(IF(AS$2=1,Assumptions!$H33/12,-(SUMIF($D$2:$EE$2,AS$2-1,$D32:$EE32)/12)*(1+XLOOKUP(AS$2,Assumptions!$C$94:$M$94,Assumptions!$C$98:$M$98))))</f>
        <v>-1035.937067</v>
      </c>
      <c r="AT32" s="54">
        <f t="array" ref="AT32">-(IF(AT$2=1,Assumptions!$H33/12,-(SUMIF($D$2:$EE$2,AT$2-1,$D32:$EE32)/12)*(1+XLOOKUP(AT$2,Assumptions!$C$94:$M$94,Assumptions!$C$98:$M$98))))</f>
        <v>-1035.937067</v>
      </c>
      <c r="AU32" s="54">
        <f t="array" ref="AU32">-(IF(AU$2=1,Assumptions!$H33/12,-(SUMIF($D$2:$EE$2,AU$2-1,$D32:$EE32)/12)*(1+XLOOKUP(AU$2,Assumptions!$C$94:$M$94,Assumptions!$C$98:$M$98))))</f>
        <v>-1035.937067</v>
      </c>
      <c r="AV32" s="54">
        <f t="array" ref="AV32">-(IF(AV$2=1,Assumptions!$H33/12,-(SUMIF($D$2:$EE$2,AV$2-1,$D32:$EE32)/12)*(1+XLOOKUP(AV$2,Assumptions!$C$94:$M$94,Assumptions!$C$98:$M$98))))</f>
        <v>-1035.937067</v>
      </c>
      <c r="AW32" s="54">
        <f t="array" ref="AW32">-(IF(AW$2=1,Assumptions!$H33/12,-(SUMIF($D$2:$EE$2,AW$2-1,$D32:$EE32)/12)*(1+XLOOKUP(AW$2,Assumptions!$C$94:$M$94,Assumptions!$C$98:$M$98))))</f>
        <v>-1035.937067</v>
      </c>
      <c r="AX32" s="54">
        <f t="array" ref="AX32">-(IF(AX$2=1,Assumptions!$H33/12,-(SUMIF($D$2:$EE$2,AX$2-1,$D32:$EE32)/12)*(1+XLOOKUP(AX$2,Assumptions!$C$94:$M$94,Assumptions!$C$98:$M$98))))</f>
        <v>-1035.937067</v>
      </c>
      <c r="AY32" s="54">
        <f t="array" ref="AY32">-(IF(AY$2=1,Assumptions!$H33/12,-(SUMIF($D$2:$EE$2,AY$2-1,$D32:$EE32)/12)*(1+XLOOKUP(AY$2,Assumptions!$C$94:$M$94,Assumptions!$C$98:$M$98))))</f>
        <v>-1035.937067</v>
      </c>
      <c r="AZ32" s="54">
        <f t="array" ref="AZ32">-(IF(AZ$2=1,Assumptions!$H33/12,-(SUMIF($D$2:$EE$2,AZ$2-1,$D32:$EE32)/12)*(1+XLOOKUP(AZ$2,Assumptions!$C$94:$M$94,Assumptions!$C$98:$M$98))))</f>
        <v>-1067.015179</v>
      </c>
      <c r="BA32" s="54">
        <f t="array" ref="BA32">-(IF(BA$2=1,Assumptions!$H33/12,-(SUMIF($D$2:$EE$2,BA$2-1,$D32:$EE32)/12)*(1+XLOOKUP(BA$2,Assumptions!$C$94:$M$94,Assumptions!$C$98:$M$98))))</f>
        <v>-1067.015179</v>
      </c>
      <c r="BB32" s="54">
        <f t="array" ref="BB32">-(IF(BB$2=1,Assumptions!$H33/12,-(SUMIF($D$2:$EE$2,BB$2-1,$D32:$EE32)/12)*(1+XLOOKUP(BB$2,Assumptions!$C$94:$M$94,Assumptions!$C$98:$M$98))))</f>
        <v>-1067.015179</v>
      </c>
      <c r="BC32" s="54">
        <f t="array" ref="BC32">-(IF(BC$2=1,Assumptions!$H33/12,-(SUMIF($D$2:$EE$2,BC$2-1,$D32:$EE32)/12)*(1+XLOOKUP(BC$2,Assumptions!$C$94:$M$94,Assumptions!$C$98:$M$98))))</f>
        <v>-1067.015179</v>
      </c>
      <c r="BD32" s="54">
        <f t="array" ref="BD32">-(IF(BD$2=1,Assumptions!$H33/12,-(SUMIF($D$2:$EE$2,BD$2-1,$D32:$EE32)/12)*(1+XLOOKUP(BD$2,Assumptions!$C$94:$M$94,Assumptions!$C$98:$M$98))))</f>
        <v>-1067.015179</v>
      </c>
      <c r="BE32" s="54">
        <f t="array" ref="BE32">-(IF(BE$2=1,Assumptions!$H33/12,-(SUMIF($D$2:$EE$2,BE$2-1,$D32:$EE32)/12)*(1+XLOOKUP(BE$2,Assumptions!$C$94:$M$94,Assumptions!$C$98:$M$98))))</f>
        <v>-1067.015179</v>
      </c>
      <c r="BF32" s="54">
        <f t="array" ref="BF32">-(IF(BF$2=1,Assumptions!$H33/12,-(SUMIF($D$2:$EE$2,BF$2-1,$D32:$EE32)/12)*(1+XLOOKUP(BF$2,Assumptions!$C$94:$M$94,Assumptions!$C$98:$M$98))))</f>
        <v>-1067.015179</v>
      </c>
      <c r="BG32" s="54">
        <f t="array" ref="BG32">-(IF(BG$2=1,Assumptions!$H33/12,-(SUMIF($D$2:$EE$2,BG$2-1,$D32:$EE32)/12)*(1+XLOOKUP(BG$2,Assumptions!$C$94:$M$94,Assumptions!$C$98:$M$98))))</f>
        <v>-1067.015179</v>
      </c>
      <c r="BH32" s="54">
        <f t="array" ref="BH32">-(IF(BH$2=1,Assumptions!$H33/12,-(SUMIF($D$2:$EE$2,BH$2-1,$D32:$EE32)/12)*(1+XLOOKUP(BH$2,Assumptions!$C$94:$M$94,Assumptions!$C$98:$M$98))))</f>
        <v>-1067.015179</v>
      </c>
      <c r="BI32" s="54">
        <f t="array" ref="BI32">-(IF(BI$2=1,Assumptions!$H33/12,-(SUMIF($D$2:$EE$2,BI$2-1,$D32:$EE32)/12)*(1+XLOOKUP(BI$2,Assumptions!$C$94:$M$94,Assumptions!$C$98:$M$98))))</f>
        <v>-1067.015179</v>
      </c>
      <c r="BJ32" s="54">
        <f t="array" ref="BJ32">-(IF(BJ$2=1,Assumptions!$H33/12,-(SUMIF($D$2:$EE$2,BJ$2-1,$D32:$EE32)/12)*(1+XLOOKUP(BJ$2,Assumptions!$C$94:$M$94,Assumptions!$C$98:$M$98))))</f>
        <v>-1067.015179</v>
      </c>
      <c r="BK32" s="54">
        <f t="array" ref="BK32">-(IF(BK$2=1,Assumptions!$H33/12,-(SUMIF($D$2:$EE$2,BK$2-1,$D32:$EE32)/12)*(1+XLOOKUP(BK$2,Assumptions!$C$94:$M$94,Assumptions!$C$98:$M$98))))</f>
        <v>-1067.015179</v>
      </c>
      <c r="BL32" s="54">
        <f t="array" ref="BL32">-(IF(BL$2=1,Assumptions!$H33/12,-(SUMIF($D$2:$EE$2,BL$2-1,$D32:$EE32)/12)*(1+XLOOKUP(BL$2,Assumptions!$C$94:$M$94,Assumptions!$C$98:$M$98))))</f>
        <v>-1099.025635</v>
      </c>
      <c r="BM32" s="54">
        <f t="array" ref="BM32">-(IF(BM$2=1,Assumptions!$H33/12,-(SUMIF($D$2:$EE$2,BM$2-1,$D32:$EE32)/12)*(1+XLOOKUP(BM$2,Assumptions!$C$94:$M$94,Assumptions!$C$98:$M$98))))</f>
        <v>-1099.025635</v>
      </c>
      <c r="BN32" s="54">
        <f t="array" ref="BN32">-(IF(BN$2=1,Assumptions!$H33/12,-(SUMIF($D$2:$EE$2,BN$2-1,$D32:$EE32)/12)*(1+XLOOKUP(BN$2,Assumptions!$C$94:$M$94,Assumptions!$C$98:$M$98))))</f>
        <v>-1099.025635</v>
      </c>
      <c r="BO32" s="54">
        <f t="array" ref="BO32">-(IF(BO$2=1,Assumptions!$H33/12,-(SUMIF($D$2:$EE$2,BO$2-1,$D32:$EE32)/12)*(1+XLOOKUP(BO$2,Assumptions!$C$94:$M$94,Assumptions!$C$98:$M$98))))</f>
        <v>-1099.025635</v>
      </c>
      <c r="BP32" s="54">
        <f t="array" ref="BP32">-(IF(BP$2=1,Assumptions!$H33/12,-(SUMIF($D$2:$EE$2,BP$2-1,$D32:$EE32)/12)*(1+XLOOKUP(BP$2,Assumptions!$C$94:$M$94,Assumptions!$C$98:$M$98))))</f>
        <v>-1099.025635</v>
      </c>
      <c r="BQ32" s="54">
        <f t="array" ref="BQ32">-(IF(BQ$2=1,Assumptions!$H33/12,-(SUMIF($D$2:$EE$2,BQ$2-1,$D32:$EE32)/12)*(1+XLOOKUP(BQ$2,Assumptions!$C$94:$M$94,Assumptions!$C$98:$M$98))))</f>
        <v>-1099.025635</v>
      </c>
      <c r="BR32" s="54">
        <f t="array" ref="BR32">-(IF(BR$2=1,Assumptions!$H33/12,-(SUMIF($D$2:$EE$2,BR$2-1,$D32:$EE32)/12)*(1+XLOOKUP(BR$2,Assumptions!$C$94:$M$94,Assumptions!$C$98:$M$98))))</f>
        <v>-1099.025635</v>
      </c>
      <c r="BS32" s="54">
        <f t="array" ref="BS32">-(IF(BS$2=1,Assumptions!$H33/12,-(SUMIF($D$2:$EE$2,BS$2-1,$D32:$EE32)/12)*(1+XLOOKUP(BS$2,Assumptions!$C$94:$M$94,Assumptions!$C$98:$M$98))))</f>
        <v>-1099.025635</v>
      </c>
      <c r="BT32" s="54">
        <f t="array" ref="BT32">-(IF(BT$2=1,Assumptions!$H33/12,-(SUMIF($D$2:$EE$2,BT$2-1,$D32:$EE32)/12)*(1+XLOOKUP(BT$2,Assumptions!$C$94:$M$94,Assumptions!$C$98:$M$98))))</f>
        <v>-1099.025635</v>
      </c>
      <c r="BU32" s="54">
        <f t="array" ref="BU32">-(IF(BU$2=1,Assumptions!$H33/12,-(SUMIF($D$2:$EE$2,BU$2-1,$D32:$EE32)/12)*(1+XLOOKUP(BU$2,Assumptions!$C$94:$M$94,Assumptions!$C$98:$M$98))))</f>
        <v>-1099.025635</v>
      </c>
      <c r="BV32" s="54">
        <f t="array" ref="BV32">-(IF(BV$2=1,Assumptions!$H33/12,-(SUMIF($D$2:$EE$2,BV$2-1,$D32:$EE32)/12)*(1+XLOOKUP(BV$2,Assumptions!$C$94:$M$94,Assumptions!$C$98:$M$98))))</f>
        <v>-1099.025635</v>
      </c>
      <c r="BW32" s="54">
        <f t="array" ref="BW32">-(IF(BW$2=1,Assumptions!$H33/12,-(SUMIF($D$2:$EE$2,BW$2-1,$D32:$EE32)/12)*(1+XLOOKUP(BW$2,Assumptions!$C$94:$M$94,Assumptions!$C$98:$M$98))))</f>
        <v>-1099.025635</v>
      </c>
      <c r="BX32" s="54">
        <f t="array" ref="BX32">-(IF(BX$2=1,Assumptions!$H33/12,-(SUMIF($D$2:$EE$2,BX$2-1,$D32:$EE32)/12)*(1+XLOOKUP(BX$2,Assumptions!$C$94:$M$94,Assumptions!$C$98:$M$98))))</f>
        <v>-1131.996404</v>
      </c>
      <c r="BY32" s="54">
        <f t="array" ref="BY32">-(IF(BY$2=1,Assumptions!$H33/12,-(SUMIF($D$2:$EE$2,BY$2-1,$D32:$EE32)/12)*(1+XLOOKUP(BY$2,Assumptions!$C$94:$M$94,Assumptions!$C$98:$M$98))))</f>
        <v>-1131.996404</v>
      </c>
      <c r="BZ32" s="54">
        <f t="array" ref="BZ32">-(IF(BZ$2=1,Assumptions!$H33/12,-(SUMIF($D$2:$EE$2,BZ$2-1,$D32:$EE32)/12)*(1+XLOOKUP(BZ$2,Assumptions!$C$94:$M$94,Assumptions!$C$98:$M$98))))</f>
        <v>-1131.996404</v>
      </c>
      <c r="CA32" s="54">
        <f t="array" ref="CA32">-(IF(CA$2=1,Assumptions!$H33/12,-(SUMIF($D$2:$EE$2,CA$2-1,$D32:$EE32)/12)*(1+XLOOKUP(CA$2,Assumptions!$C$94:$M$94,Assumptions!$C$98:$M$98))))</f>
        <v>-1131.996404</v>
      </c>
      <c r="CB32" s="54">
        <f t="array" ref="CB32">-(IF(CB$2=1,Assumptions!$H33/12,-(SUMIF($D$2:$EE$2,CB$2-1,$D32:$EE32)/12)*(1+XLOOKUP(CB$2,Assumptions!$C$94:$M$94,Assumptions!$C$98:$M$98))))</f>
        <v>-1131.996404</v>
      </c>
      <c r="CC32" s="54">
        <f t="array" ref="CC32">-(IF(CC$2=1,Assumptions!$H33/12,-(SUMIF($D$2:$EE$2,CC$2-1,$D32:$EE32)/12)*(1+XLOOKUP(CC$2,Assumptions!$C$94:$M$94,Assumptions!$C$98:$M$98))))</f>
        <v>-1131.996404</v>
      </c>
      <c r="CD32" s="54">
        <f t="array" ref="CD32">-(IF(CD$2=1,Assumptions!$H33/12,-(SUMIF($D$2:$EE$2,CD$2-1,$D32:$EE32)/12)*(1+XLOOKUP(CD$2,Assumptions!$C$94:$M$94,Assumptions!$C$98:$M$98))))</f>
        <v>-1131.996404</v>
      </c>
      <c r="CE32" s="54">
        <f t="array" ref="CE32">-(IF(CE$2=1,Assumptions!$H33/12,-(SUMIF($D$2:$EE$2,CE$2-1,$D32:$EE32)/12)*(1+XLOOKUP(CE$2,Assumptions!$C$94:$M$94,Assumptions!$C$98:$M$98))))</f>
        <v>-1131.996404</v>
      </c>
      <c r="CF32" s="54">
        <f t="array" ref="CF32">-(IF(CF$2=1,Assumptions!$H33/12,-(SUMIF($D$2:$EE$2,CF$2-1,$D32:$EE32)/12)*(1+XLOOKUP(CF$2,Assumptions!$C$94:$M$94,Assumptions!$C$98:$M$98))))</f>
        <v>-1131.996404</v>
      </c>
      <c r="CG32" s="54">
        <f t="array" ref="CG32">-(IF(CG$2=1,Assumptions!$H33/12,-(SUMIF($D$2:$EE$2,CG$2-1,$D32:$EE32)/12)*(1+XLOOKUP(CG$2,Assumptions!$C$94:$M$94,Assumptions!$C$98:$M$98))))</f>
        <v>-1131.996404</v>
      </c>
      <c r="CH32" s="54">
        <f t="array" ref="CH32">-(IF(CH$2=1,Assumptions!$H33/12,-(SUMIF($D$2:$EE$2,CH$2-1,$D32:$EE32)/12)*(1+XLOOKUP(CH$2,Assumptions!$C$94:$M$94,Assumptions!$C$98:$M$98))))</f>
        <v>-1131.996404</v>
      </c>
      <c r="CI32" s="54">
        <f t="array" ref="CI32">-(IF(CI$2=1,Assumptions!$H33/12,-(SUMIF($D$2:$EE$2,CI$2-1,$D32:$EE32)/12)*(1+XLOOKUP(CI$2,Assumptions!$C$94:$M$94,Assumptions!$C$98:$M$98))))</f>
        <v>-1131.996404</v>
      </c>
      <c r="CJ32" s="54">
        <f t="array" ref="CJ32">-(IF(CJ$2=1,Assumptions!$H33/12,-(SUMIF($D$2:$EE$2,CJ$2-1,$D32:$EE32)/12)*(1+XLOOKUP(CJ$2,Assumptions!$C$94:$M$94,Assumptions!$C$98:$M$98))))</f>
        <v>-1165.956296</v>
      </c>
      <c r="CK32" s="54">
        <f t="array" ref="CK32">-(IF(CK$2=1,Assumptions!$H33/12,-(SUMIF($D$2:$EE$2,CK$2-1,$D32:$EE32)/12)*(1+XLOOKUP(CK$2,Assumptions!$C$94:$M$94,Assumptions!$C$98:$M$98))))</f>
        <v>-1165.956296</v>
      </c>
      <c r="CL32" s="54">
        <f t="array" ref="CL32">-(IF(CL$2=1,Assumptions!$H33/12,-(SUMIF($D$2:$EE$2,CL$2-1,$D32:$EE32)/12)*(1+XLOOKUP(CL$2,Assumptions!$C$94:$M$94,Assumptions!$C$98:$M$98))))</f>
        <v>-1165.956296</v>
      </c>
      <c r="CM32" s="54">
        <f t="array" ref="CM32">-(IF(CM$2=1,Assumptions!$H33/12,-(SUMIF($D$2:$EE$2,CM$2-1,$D32:$EE32)/12)*(1+XLOOKUP(CM$2,Assumptions!$C$94:$M$94,Assumptions!$C$98:$M$98))))</f>
        <v>-1165.956296</v>
      </c>
      <c r="CN32" s="54">
        <f t="array" ref="CN32">-(IF(CN$2=1,Assumptions!$H33/12,-(SUMIF($D$2:$EE$2,CN$2-1,$D32:$EE32)/12)*(1+XLOOKUP(CN$2,Assumptions!$C$94:$M$94,Assumptions!$C$98:$M$98))))</f>
        <v>-1165.956296</v>
      </c>
      <c r="CO32" s="54">
        <f t="array" ref="CO32">-(IF(CO$2=1,Assumptions!$H33/12,-(SUMIF($D$2:$EE$2,CO$2-1,$D32:$EE32)/12)*(1+XLOOKUP(CO$2,Assumptions!$C$94:$M$94,Assumptions!$C$98:$M$98))))</f>
        <v>-1165.956296</v>
      </c>
      <c r="CP32" s="54">
        <f t="array" ref="CP32">-(IF(CP$2=1,Assumptions!$H33/12,-(SUMIF($D$2:$EE$2,CP$2-1,$D32:$EE32)/12)*(1+XLOOKUP(CP$2,Assumptions!$C$94:$M$94,Assumptions!$C$98:$M$98))))</f>
        <v>-1165.956296</v>
      </c>
      <c r="CQ32" s="54">
        <f t="array" ref="CQ32">-(IF(CQ$2=1,Assumptions!$H33/12,-(SUMIF($D$2:$EE$2,CQ$2-1,$D32:$EE32)/12)*(1+XLOOKUP(CQ$2,Assumptions!$C$94:$M$94,Assumptions!$C$98:$M$98))))</f>
        <v>-1165.956296</v>
      </c>
      <c r="CR32" s="54">
        <f t="array" ref="CR32">-(IF(CR$2=1,Assumptions!$H33/12,-(SUMIF($D$2:$EE$2,CR$2-1,$D32:$EE32)/12)*(1+XLOOKUP(CR$2,Assumptions!$C$94:$M$94,Assumptions!$C$98:$M$98))))</f>
        <v>-1165.956296</v>
      </c>
      <c r="CS32" s="54">
        <f t="array" ref="CS32">-(IF(CS$2=1,Assumptions!$H33/12,-(SUMIF($D$2:$EE$2,CS$2-1,$D32:$EE32)/12)*(1+XLOOKUP(CS$2,Assumptions!$C$94:$M$94,Assumptions!$C$98:$M$98))))</f>
        <v>-1165.956296</v>
      </c>
      <c r="CT32" s="54">
        <f t="array" ref="CT32">-(IF(CT$2=1,Assumptions!$H33/12,-(SUMIF($D$2:$EE$2,CT$2-1,$D32:$EE32)/12)*(1+XLOOKUP(CT$2,Assumptions!$C$94:$M$94,Assumptions!$C$98:$M$98))))</f>
        <v>-1165.956296</v>
      </c>
      <c r="CU32" s="54">
        <f t="array" ref="CU32">-(IF(CU$2=1,Assumptions!$H33/12,-(SUMIF($D$2:$EE$2,CU$2-1,$D32:$EE32)/12)*(1+XLOOKUP(CU$2,Assumptions!$C$94:$M$94,Assumptions!$C$98:$M$98))))</f>
        <v>-1165.956296</v>
      </c>
      <c r="CV32" s="54">
        <f t="array" ref="CV32">-(IF(CV$2=1,Assumptions!$H33/12,-(SUMIF($D$2:$EE$2,CV$2-1,$D32:$EE32)/12)*(1+XLOOKUP(CV$2,Assumptions!$C$94:$M$94,Assumptions!$C$98:$M$98))))</f>
        <v>-1200.934985</v>
      </c>
      <c r="CW32" s="54">
        <f t="array" ref="CW32">-(IF(CW$2=1,Assumptions!$H33/12,-(SUMIF($D$2:$EE$2,CW$2-1,$D32:$EE32)/12)*(1+XLOOKUP(CW$2,Assumptions!$C$94:$M$94,Assumptions!$C$98:$M$98))))</f>
        <v>-1200.934985</v>
      </c>
      <c r="CX32" s="54">
        <f t="array" ref="CX32">-(IF(CX$2=1,Assumptions!$H33/12,-(SUMIF($D$2:$EE$2,CX$2-1,$D32:$EE32)/12)*(1+XLOOKUP(CX$2,Assumptions!$C$94:$M$94,Assumptions!$C$98:$M$98))))</f>
        <v>-1200.934985</v>
      </c>
      <c r="CY32" s="54">
        <f t="array" ref="CY32">-(IF(CY$2=1,Assumptions!$H33/12,-(SUMIF($D$2:$EE$2,CY$2-1,$D32:$EE32)/12)*(1+XLOOKUP(CY$2,Assumptions!$C$94:$M$94,Assumptions!$C$98:$M$98))))</f>
        <v>-1200.934985</v>
      </c>
      <c r="CZ32" s="54">
        <f t="array" ref="CZ32">-(IF(CZ$2=1,Assumptions!$H33/12,-(SUMIF($D$2:$EE$2,CZ$2-1,$D32:$EE32)/12)*(1+XLOOKUP(CZ$2,Assumptions!$C$94:$M$94,Assumptions!$C$98:$M$98))))</f>
        <v>-1200.934985</v>
      </c>
      <c r="DA32" s="54">
        <f t="array" ref="DA32">-(IF(DA$2=1,Assumptions!$H33/12,-(SUMIF($D$2:$EE$2,DA$2-1,$D32:$EE32)/12)*(1+XLOOKUP(DA$2,Assumptions!$C$94:$M$94,Assumptions!$C$98:$M$98))))</f>
        <v>-1200.934985</v>
      </c>
      <c r="DB32" s="54">
        <f t="array" ref="DB32">-(IF(DB$2=1,Assumptions!$H33/12,-(SUMIF($D$2:$EE$2,DB$2-1,$D32:$EE32)/12)*(1+XLOOKUP(DB$2,Assumptions!$C$94:$M$94,Assumptions!$C$98:$M$98))))</f>
        <v>-1200.934985</v>
      </c>
      <c r="DC32" s="54">
        <f t="array" ref="DC32">-(IF(DC$2=1,Assumptions!$H33/12,-(SUMIF($D$2:$EE$2,DC$2-1,$D32:$EE32)/12)*(1+XLOOKUP(DC$2,Assumptions!$C$94:$M$94,Assumptions!$C$98:$M$98))))</f>
        <v>-1200.934985</v>
      </c>
      <c r="DD32" s="54">
        <f t="array" ref="DD32">-(IF(DD$2=1,Assumptions!$H33/12,-(SUMIF($D$2:$EE$2,DD$2-1,$D32:$EE32)/12)*(1+XLOOKUP(DD$2,Assumptions!$C$94:$M$94,Assumptions!$C$98:$M$98))))</f>
        <v>-1200.934985</v>
      </c>
      <c r="DE32" s="54">
        <f t="array" ref="DE32">-(IF(DE$2=1,Assumptions!$H33/12,-(SUMIF($D$2:$EE$2,DE$2-1,$D32:$EE32)/12)*(1+XLOOKUP(DE$2,Assumptions!$C$94:$M$94,Assumptions!$C$98:$M$98))))</f>
        <v>-1200.934985</v>
      </c>
      <c r="DF32" s="54">
        <f t="array" ref="DF32">-(IF(DF$2=1,Assumptions!$H33/12,-(SUMIF($D$2:$EE$2,DF$2-1,$D32:$EE32)/12)*(1+XLOOKUP(DF$2,Assumptions!$C$94:$M$94,Assumptions!$C$98:$M$98))))</f>
        <v>-1200.934985</v>
      </c>
      <c r="DG32" s="54">
        <f t="array" ref="DG32">-(IF(DG$2=1,Assumptions!$H33/12,-(SUMIF($D$2:$EE$2,DG$2-1,$D32:$EE32)/12)*(1+XLOOKUP(DG$2,Assumptions!$C$94:$M$94,Assumptions!$C$98:$M$98))))</f>
        <v>-1200.934985</v>
      </c>
      <c r="DH32" s="54">
        <f t="array" ref="DH32">-(IF(DH$2=1,Assumptions!$H33/12,-(SUMIF($D$2:$EE$2,DH$2-1,$D32:$EE32)/12)*(1+XLOOKUP(DH$2,Assumptions!$C$94:$M$94,Assumptions!$C$98:$M$98))))</f>
        <v>-1236.963034</v>
      </c>
      <c r="DI32" s="54">
        <f t="array" ref="DI32">-(IF(DI$2=1,Assumptions!$H33/12,-(SUMIF($D$2:$EE$2,DI$2-1,$D32:$EE32)/12)*(1+XLOOKUP(DI$2,Assumptions!$C$94:$M$94,Assumptions!$C$98:$M$98))))</f>
        <v>-1236.963034</v>
      </c>
      <c r="DJ32" s="54">
        <f t="array" ref="DJ32">-(IF(DJ$2=1,Assumptions!$H33/12,-(SUMIF($D$2:$EE$2,DJ$2-1,$D32:$EE32)/12)*(1+XLOOKUP(DJ$2,Assumptions!$C$94:$M$94,Assumptions!$C$98:$M$98))))</f>
        <v>-1236.963034</v>
      </c>
      <c r="DK32" s="54">
        <f t="array" ref="DK32">-(IF(DK$2=1,Assumptions!$H33/12,-(SUMIF($D$2:$EE$2,DK$2-1,$D32:$EE32)/12)*(1+XLOOKUP(DK$2,Assumptions!$C$94:$M$94,Assumptions!$C$98:$M$98))))</f>
        <v>-1236.963034</v>
      </c>
      <c r="DL32" s="54">
        <f t="array" ref="DL32">-(IF(DL$2=1,Assumptions!$H33/12,-(SUMIF($D$2:$EE$2,DL$2-1,$D32:$EE32)/12)*(1+XLOOKUP(DL$2,Assumptions!$C$94:$M$94,Assumptions!$C$98:$M$98))))</f>
        <v>-1236.963034</v>
      </c>
      <c r="DM32" s="54">
        <f t="array" ref="DM32">-(IF(DM$2=1,Assumptions!$H33/12,-(SUMIF($D$2:$EE$2,DM$2-1,$D32:$EE32)/12)*(1+XLOOKUP(DM$2,Assumptions!$C$94:$M$94,Assumptions!$C$98:$M$98))))</f>
        <v>-1236.963034</v>
      </c>
      <c r="DN32" s="54">
        <f t="array" ref="DN32">-(IF(DN$2=1,Assumptions!$H33/12,-(SUMIF($D$2:$EE$2,DN$2-1,$D32:$EE32)/12)*(1+XLOOKUP(DN$2,Assumptions!$C$94:$M$94,Assumptions!$C$98:$M$98))))</f>
        <v>-1236.963034</v>
      </c>
      <c r="DO32" s="54">
        <f t="array" ref="DO32">-(IF(DO$2=1,Assumptions!$H33/12,-(SUMIF($D$2:$EE$2,DO$2-1,$D32:$EE32)/12)*(1+XLOOKUP(DO$2,Assumptions!$C$94:$M$94,Assumptions!$C$98:$M$98))))</f>
        <v>-1236.963034</v>
      </c>
      <c r="DP32" s="54">
        <f t="array" ref="DP32">-(IF(DP$2=1,Assumptions!$H33/12,-(SUMIF($D$2:$EE$2,DP$2-1,$D32:$EE32)/12)*(1+XLOOKUP(DP$2,Assumptions!$C$94:$M$94,Assumptions!$C$98:$M$98))))</f>
        <v>-1236.963034</v>
      </c>
      <c r="DQ32" s="54">
        <f t="array" ref="DQ32">-(IF(DQ$2=1,Assumptions!$H33/12,-(SUMIF($D$2:$EE$2,DQ$2-1,$D32:$EE32)/12)*(1+XLOOKUP(DQ$2,Assumptions!$C$94:$M$94,Assumptions!$C$98:$M$98))))</f>
        <v>-1236.963034</v>
      </c>
      <c r="DR32" s="54">
        <f t="array" ref="DR32">-(IF(DR$2=1,Assumptions!$H33/12,-(SUMIF($D$2:$EE$2,DR$2-1,$D32:$EE32)/12)*(1+XLOOKUP(DR$2,Assumptions!$C$94:$M$94,Assumptions!$C$98:$M$98))))</f>
        <v>-1236.963034</v>
      </c>
      <c r="DS32" s="54">
        <f t="array" ref="DS32">-(IF(DS$2=1,Assumptions!$H33/12,-(SUMIF($D$2:$EE$2,DS$2-1,$D32:$EE32)/12)*(1+XLOOKUP(DS$2,Assumptions!$C$94:$M$94,Assumptions!$C$98:$M$98))))</f>
        <v>-1236.963034</v>
      </c>
      <c r="DT32" s="54">
        <f t="array" ref="DT32">-(IF(DT$2=1,Assumptions!$H33/12,-(SUMIF($D$2:$EE$2,DT$2-1,$D32:$EE32)/12)*(1+XLOOKUP(DT$2,Assumptions!$C$94:$M$94,Assumptions!$C$98:$M$98))))</f>
        <v>-1274.071925</v>
      </c>
      <c r="DU32" s="54">
        <f t="array" ref="DU32">-(IF(DU$2=1,Assumptions!$H33/12,-(SUMIF($D$2:$EE$2,DU$2-1,$D32:$EE32)/12)*(1+XLOOKUP(DU$2,Assumptions!$C$94:$M$94,Assumptions!$C$98:$M$98))))</f>
        <v>-1274.071925</v>
      </c>
      <c r="DV32" s="54">
        <f t="array" ref="DV32">-(IF(DV$2=1,Assumptions!$H33/12,-(SUMIF($D$2:$EE$2,DV$2-1,$D32:$EE32)/12)*(1+XLOOKUP(DV$2,Assumptions!$C$94:$M$94,Assumptions!$C$98:$M$98))))</f>
        <v>-1274.071925</v>
      </c>
      <c r="DW32" s="54">
        <f t="array" ref="DW32">-(IF(DW$2=1,Assumptions!$H33/12,-(SUMIF($D$2:$EE$2,DW$2-1,$D32:$EE32)/12)*(1+XLOOKUP(DW$2,Assumptions!$C$94:$M$94,Assumptions!$C$98:$M$98))))</f>
        <v>-1274.071925</v>
      </c>
      <c r="DX32" s="54">
        <f t="array" ref="DX32">-(IF(DX$2=1,Assumptions!$H33/12,-(SUMIF($D$2:$EE$2,DX$2-1,$D32:$EE32)/12)*(1+XLOOKUP(DX$2,Assumptions!$C$94:$M$94,Assumptions!$C$98:$M$98))))</f>
        <v>-1274.071925</v>
      </c>
      <c r="DY32" s="54">
        <f t="array" ref="DY32">-(IF(DY$2=1,Assumptions!$H33/12,-(SUMIF($D$2:$EE$2,DY$2-1,$D32:$EE32)/12)*(1+XLOOKUP(DY$2,Assumptions!$C$94:$M$94,Assumptions!$C$98:$M$98))))</f>
        <v>-1274.071925</v>
      </c>
      <c r="DZ32" s="54">
        <f t="array" ref="DZ32">-(IF(DZ$2=1,Assumptions!$H33/12,-(SUMIF($D$2:$EE$2,DZ$2-1,$D32:$EE32)/12)*(1+XLOOKUP(DZ$2,Assumptions!$C$94:$M$94,Assumptions!$C$98:$M$98))))</f>
        <v>-1274.071925</v>
      </c>
      <c r="EA32" s="54">
        <f t="array" ref="EA32">-(IF(EA$2=1,Assumptions!$H33/12,-(SUMIF($D$2:$EE$2,EA$2-1,$D32:$EE32)/12)*(1+XLOOKUP(EA$2,Assumptions!$C$94:$M$94,Assumptions!$C$98:$M$98))))</f>
        <v>-1274.071925</v>
      </c>
      <c r="EB32" s="54">
        <f t="array" ref="EB32">-(IF(EB$2=1,Assumptions!$H33/12,-(SUMIF($D$2:$EE$2,EB$2-1,$D32:$EE32)/12)*(1+XLOOKUP(EB$2,Assumptions!$C$94:$M$94,Assumptions!$C$98:$M$98))))</f>
        <v>-1274.071925</v>
      </c>
      <c r="EC32" s="54">
        <f t="array" ref="EC32">-(IF(EC$2=1,Assumptions!$H33/12,-(SUMIF($D$2:$EE$2,EC$2-1,$D32:$EE32)/12)*(1+XLOOKUP(EC$2,Assumptions!$C$94:$M$94,Assumptions!$C$98:$M$98))))</f>
        <v>-1274.071925</v>
      </c>
      <c r="ED32" s="54">
        <f t="array" ref="ED32">-(IF(ED$2=1,Assumptions!$H33/12,-(SUMIF($D$2:$EE$2,ED$2-1,$D32:$EE32)/12)*(1+XLOOKUP(ED$2,Assumptions!$C$94:$M$94,Assumptions!$C$98:$M$98))))</f>
        <v>-1274.071925</v>
      </c>
      <c r="EE32" s="54">
        <f t="array" ref="EE32">-(IF(EE$2=1,Assumptions!$H33/12,-(SUMIF($D$2:$EE$2,EE$2-1,$D32:$EE32)/12)*(1+XLOOKUP(EE$2,Assumptions!$C$94:$M$94,Assumptions!$C$98:$M$98))))</f>
        <v>-1274.071925</v>
      </c>
    </row>
    <row r="33" ht="15.75" customHeight="1">
      <c r="A33" s="1"/>
      <c r="B33" s="1"/>
      <c r="C33" s="1" t="str">
        <f>Assumptions!B34</f>
        <v>Tax</v>
      </c>
      <c r="D33" s="54">
        <f t="array" ref="D33">-(IF(D$2=1,Assumptions!$H34/12,-(SUMIF($D$2:$EE$2,D$2-1,$D33:$EE33)/12)*(1+XLOOKUP(D$2,Assumptions!$C$94:$M$94,Assumptions!$C$98:$M$98))))</f>
        <v>-10134.4378</v>
      </c>
      <c r="E33" s="54">
        <f t="array" ref="E33">-(IF(E$2=1,Assumptions!$H34/12,-(SUMIF($D$2:$EE$2,E$2-1,$D33:$EE33)/12)*(1+XLOOKUP(E$2,Assumptions!$C$94:$M$94,Assumptions!$C$98:$M$98))))</f>
        <v>-10134.4378</v>
      </c>
      <c r="F33" s="54">
        <f t="array" ref="F33">-(IF(F$2=1,Assumptions!$H34/12,-(SUMIF($D$2:$EE$2,F$2-1,$D33:$EE33)/12)*(1+XLOOKUP(F$2,Assumptions!$C$94:$M$94,Assumptions!$C$98:$M$98))))</f>
        <v>-10134.4378</v>
      </c>
      <c r="G33" s="54">
        <f t="array" ref="G33">-(IF(G$2=1,Assumptions!$H34/12,-(SUMIF($D$2:$EE$2,G$2-1,$D33:$EE33)/12)*(1+XLOOKUP(G$2,Assumptions!$C$94:$M$94,Assumptions!$C$98:$M$98))))</f>
        <v>-10134.4378</v>
      </c>
      <c r="H33" s="54">
        <f t="array" ref="H33">-(IF(H$2=1,Assumptions!$H34/12,-(SUMIF($D$2:$EE$2,H$2-1,$D33:$EE33)/12)*(1+XLOOKUP(H$2,Assumptions!$C$94:$M$94,Assumptions!$C$98:$M$98))))</f>
        <v>-10134.4378</v>
      </c>
      <c r="I33" s="54">
        <f t="array" ref="I33">-(IF(I$2=1,Assumptions!$H34/12,-(SUMIF($D$2:$EE$2,I$2-1,$D33:$EE33)/12)*(1+XLOOKUP(I$2,Assumptions!$C$94:$M$94,Assumptions!$C$98:$M$98))))</f>
        <v>-10134.4378</v>
      </c>
      <c r="J33" s="54">
        <f t="array" ref="J33">-(IF(J$2=1,Assumptions!$H34/12,-(SUMIF($D$2:$EE$2,J$2-1,$D33:$EE33)/12)*(1+XLOOKUP(J$2,Assumptions!$C$94:$M$94,Assumptions!$C$98:$M$98))))</f>
        <v>-10134.4378</v>
      </c>
      <c r="K33" s="54">
        <f t="array" ref="K33">-(IF(K$2=1,Assumptions!$H34/12,-(SUMIF($D$2:$EE$2,K$2-1,$D33:$EE33)/12)*(1+XLOOKUP(K$2,Assumptions!$C$94:$M$94,Assumptions!$C$98:$M$98))))</f>
        <v>-10134.4378</v>
      </c>
      <c r="L33" s="54">
        <f t="array" ref="L33">-(IF(L$2=1,Assumptions!$H34/12,-(SUMIF($D$2:$EE$2,L$2-1,$D33:$EE33)/12)*(1+XLOOKUP(L$2,Assumptions!$C$94:$M$94,Assumptions!$C$98:$M$98))))</f>
        <v>-10134.4378</v>
      </c>
      <c r="M33" s="54">
        <f t="array" ref="M33">-(IF(M$2=1,Assumptions!$H34/12,-(SUMIF($D$2:$EE$2,M$2-1,$D33:$EE33)/12)*(1+XLOOKUP(M$2,Assumptions!$C$94:$M$94,Assumptions!$C$98:$M$98))))</f>
        <v>-10134.4378</v>
      </c>
      <c r="N33" s="54">
        <f t="array" ref="N33">-(IF(N$2=1,Assumptions!$H34/12,-(SUMIF($D$2:$EE$2,N$2-1,$D33:$EE33)/12)*(1+XLOOKUP(N$2,Assumptions!$C$94:$M$94,Assumptions!$C$98:$M$98))))</f>
        <v>-10134.4378</v>
      </c>
      <c r="O33" s="54">
        <f t="array" ref="O33">-(IF(O$2=1,Assumptions!$H34/12,-(SUMIF($D$2:$EE$2,O$2-1,$D33:$EE33)/12)*(1+XLOOKUP(O$2,Assumptions!$C$94:$M$94,Assumptions!$C$98:$M$98))))</f>
        <v>-10134.4378</v>
      </c>
      <c r="P33" s="54">
        <f t="array" ref="P33">-(IF(P$2=1,Assumptions!$H34/12,-(SUMIF($D$2:$EE$2,P$2-1,$D33:$EE33)/12)*(1+XLOOKUP(P$2,Assumptions!$C$94:$M$94,Assumptions!$C$98:$M$98))))</f>
        <v>-10438.47093</v>
      </c>
      <c r="Q33" s="54">
        <f t="array" ref="Q33">-(IF(Q$2=1,Assumptions!$H34/12,-(SUMIF($D$2:$EE$2,Q$2-1,$D33:$EE33)/12)*(1+XLOOKUP(Q$2,Assumptions!$C$94:$M$94,Assumptions!$C$98:$M$98))))</f>
        <v>-10438.47093</v>
      </c>
      <c r="R33" s="54">
        <f t="array" ref="R33">-(IF(R$2=1,Assumptions!$H34/12,-(SUMIF($D$2:$EE$2,R$2-1,$D33:$EE33)/12)*(1+XLOOKUP(R$2,Assumptions!$C$94:$M$94,Assumptions!$C$98:$M$98))))</f>
        <v>-10438.47093</v>
      </c>
      <c r="S33" s="54">
        <f t="array" ref="S33">-(IF(S$2=1,Assumptions!$H34/12,-(SUMIF($D$2:$EE$2,S$2-1,$D33:$EE33)/12)*(1+XLOOKUP(S$2,Assumptions!$C$94:$M$94,Assumptions!$C$98:$M$98))))</f>
        <v>-10438.47093</v>
      </c>
      <c r="T33" s="54">
        <f t="array" ref="T33">-(IF(T$2=1,Assumptions!$H34/12,-(SUMIF($D$2:$EE$2,T$2-1,$D33:$EE33)/12)*(1+XLOOKUP(T$2,Assumptions!$C$94:$M$94,Assumptions!$C$98:$M$98))))</f>
        <v>-10438.47093</v>
      </c>
      <c r="U33" s="54">
        <f t="array" ref="U33">-(IF(U$2=1,Assumptions!$H34/12,-(SUMIF($D$2:$EE$2,U$2-1,$D33:$EE33)/12)*(1+XLOOKUP(U$2,Assumptions!$C$94:$M$94,Assumptions!$C$98:$M$98))))</f>
        <v>-10438.47093</v>
      </c>
      <c r="V33" s="54">
        <f t="array" ref="V33">-(IF(V$2=1,Assumptions!$H34/12,-(SUMIF($D$2:$EE$2,V$2-1,$D33:$EE33)/12)*(1+XLOOKUP(V$2,Assumptions!$C$94:$M$94,Assumptions!$C$98:$M$98))))</f>
        <v>-10438.47093</v>
      </c>
      <c r="W33" s="54">
        <f t="array" ref="W33">-(IF(W$2=1,Assumptions!$H34/12,-(SUMIF($D$2:$EE$2,W$2-1,$D33:$EE33)/12)*(1+XLOOKUP(W$2,Assumptions!$C$94:$M$94,Assumptions!$C$98:$M$98))))</f>
        <v>-10438.47093</v>
      </c>
      <c r="X33" s="54">
        <f t="array" ref="X33">-(IF(X$2=1,Assumptions!$H34/12,-(SUMIF($D$2:$EE$2,X$2-1,$D33:$EE33)/12)*(1+XLOOKUP(X$2,Assumptions!$C$94:$M$94,Assumptions!$C$98:$M$98))))</f>
        <v>-10438.47093</v>
      </c>
      <c r="Y33" s="54">
        <f t="array" ref="Y33">-(IF(Y$2=1,Assumptions!$H34/12,-(SUMIF($D$2:$EE$2,Y$2-1,$D33:$EE33)/12)*(1+XLOOKUP(Y$2,Assumptions!$C$94:$M$94,Assumptions!$C$98:$M$98))))</f>
        <v>-10438.47093</v>
      </c>
      <c r="Z33" s="54">
        <f t="array" ref="Z33">-(IF(Z$2=1,Assumptions!$H34/12,-(SUMIF($D$2:$EE$2,Z$2-1,$D33:$EE33)/12)*(1+XLOOKUP(Z$2,Assumptions!$C$94:$M$94,Assumptions!$C$98:$M$98))))</f>
        <v>-10438.47093</v>
      </c>
      <c r="AA33" s="54">
        <f t="array" ref="AA33">-(IF(AA$2=1,Assumptions!$H34/12,-(SUMIF($D$2:$EE$2,AA$2-1,$D33:$EE33)/12)*(1+XLOOKUP(AA$2,Assumptions!$C$94:$M$94,Assumptions!$C$98:$M$98))))</f>
        <v>-10438.47093</v>
      </c>
      <c r="AB33" s="54">
        <f t="array" ref="AB33">-(IF(AB$2=1,Assumptions!$H34/12,-(SUMIF($D$2:$EE$2,AB$2-1,$D33:$EE33)/12)*(1+XLOOKUP(AB$2,Assumptions!$C$94:$M$94,Assumptions!$C$98:$M$98))))</f>
        <v>-10751.62506</v>
      </c>
      <c r="AC33" s="54">
        <f t="array" ref="AC33">-(IF(AC$2=1,Assumptions!$H34/12,-(SUMIF($D$2:$EE$2,AC$2-1,$D33:$EE33)/12)*(1+XLOOKUP(AC$2,Assumptions!$C$94:$M$94,Assumptions!$C$98:$M$98))))</f>
        <v>-10751.62506</v>
      </c>
      <c r="AD33" s="54">
        <f t="array" ref="AD33">-(IF(AD$2=1,Assumptions!$H34/12,-(SUMIF($D$2:$EE$2,AD$2-1,$D33:$EE33)/12)*(1+XLOOKUP(AD$2,Assumptions!$C$94:$M$94,Assumptions!$C$98:$M$98))))</f>
        <v>-10751.62506</v>
      </c>
      <c r="AE33" s="54">
        <f t="array" ref="AE33">-(IF(AE$2=1,Assumptions!$H34/12,-(SUMIF($D$2:$EE$2,AE$2-1,$D33:$EE33)/12)*(1+XLOOKUP(AE$2,Assumptions!$C$94:$M$94,Assumptions!$C$98:$M$98))))</f>
        <v>-10751.62506</v>
      </c>
      <c r="AF33" s="54">
        <f t="array" ref="AF33">-(IF(AF$2=1,Assumptions!$H34/12,-(SUMIF($D$2:$EE$2,AF$2-1,$D33:$EE33)/12)*(1+XLOOKUP(AF$2,Assumptions!$C$94:$M$94,Assumptions!$C$98:$M$98))))</f>
        <v>-10751.62506</v>
      </c>
      <c r="AG33" s="54">
        <f t="array" ref="AG33">-(IF(AG$2=1,Assumptions!$H34/12,-(SUMIF($D$2:$EE$2,AG$2-1,$D33:$EE33)/12)*(1+XLOOKUP(AG$2,Assumptions!$C$94:$M$94,Assumptions!$C$98:$M$98))))</f>
        <v>-10751.62506</v>
      </c>
      <c r="AH33" s="54">
        <f t="array" ref="AH33">-(IF(AH$2=1,Assumptions!$H34/12,-(SUMIF($D$2:$EE$2,AH$2-1,$D33:$EE33)/12)*(1+XLOOKUP(AH$2,Assumptions!$C$94:$M$94,Assumptions!$C$98:$M$98))))</f>
        <v>-10751.62506</v>
      </c>
      <c r="AI33" s="54">
        <f t="array" ref="AI33">-(IF(AI$2=1,Assumptions!$H34/12,-(SUMIF($D$2:$EE$2,AI$2-1,$D33:$EE33)/12)*(1+XLOOKUP(AI$2,Assumptions!$C$94:$M$94,Assumptions!$C$98:$M$98))))</f>
        <v>-10751.62506</v>
      </c>
      <c r="AJ33" s="54">
        <f t="array" ref="AJ33">-(IF(AJ$2=1,Assumptions!$H34/12,-(SUMIF($D$2:$EE$2,AJ$2-1,$D33:$EE33)/12)*(1+XLOOKUP(AJ$2,Assumptions!$C$94:$M$94,Assumptions!$C$98:$M$98))))</f>
        <v>-10751.62506</v>
      </c>
      <c r="AK33" s="54">
        <f t="array" ref="AK33">-(IF(AK$2=1,Assumptions!$H34/12,-(SUMIF($D$2:$EE$2,AK$2-1,$D33:$EE33)/12)*(1+XLOOKUP(AK$2,Assumptions!$C$94:$M$94,Assumptions!$C$98:$M$98))))</f>
        <v>-10751.62506</v>
      </c>
      <c r="AL33" s="54">
        <f t="array" ref="AL33">-(IF(AL$2=1,Assumptions!$H34/12,-(SUMIF($D$2:$EE$2,AL$2-1,$D33:$EE33)/12)*(1+XLOOKUP(AL$2,Assumptions!$C$94:$M$94,Assumptions!$C$98:$M$98))))</f>
        <v>-10751.62506</v>
      </c>
      <c r="AM33" s="54">
        <f t="array" ref="AM33">-(IF(AM$2=1,Assumptions!$H34/12,-(SUMIF($D$2:$EE$2,AM$2-1,$D33:$EE33)/12)*(1+XLOOKUP(AM$2,Assumptions!$C$94:$M$94,Assumptions!$C$98:$M$98))))</f>
        <v>-10751.62506</v>
      </c>
      <c r="AN33" s="54">
        <f t="array" ref="AN33">-(IF(AN$2=1,Assumptions!$H34/12,-(SUMIF($D$2:$EE$2,AN$2-1,$D33:$EE33)/12)*(1+XLOOKUP(AN$2,Assumptions!$C$94:$M$94,Assumptions!$C$98:$M$98))))</f>
        <v>-11074.17381</v>
      </c>
      <c r="AO33" s="54">
        <f t="array" ref="AO33">-(IF(AO$2=1,Assumptions!$H34/12,-(SUMIF($D$2:$EE$2,AO$2-1,$D33:$EE33)/12)*(1+XLOOKUP(AO$2,Assumptions!$C$94:$M$94,Assumptions!$C$98:$M$98))))</f>
        <v>-11074.17381</v>
      </c>
      <c r="AP33" s="54">
        <f t="array" ref="AP33">-(IF(AP$2=1,Assumptions!$H34/12,-(SUMIF($D$2:$EE$2,AP$2-1,$D33:$EE33)/12)*(1+XLOOKUP(AP$2,Assumptions!$C$94:$M$94,Assumptions!$C$98:$M$98))))</f>
        <v>-11074.17381</v>
      </c>
      <c r="AQ33" s="54">
        <f t="array" ref="AQ33">-(IF(AQ$2=1,Assumptions!$H34/12,-(SUMIF($D$2:$EE$2,AQ$2-1,$D33:$EE33)/12)*(1+XLOOKUP(AQ$2,Assumptions!$C$94:$M$94,Assumptions!$C$98:$M$98))))</f>
        <v>-11074.17381</v>
      </c>
      <c r="AR33" s="54">
        <f t="array" ref="AR33">-(IF(AR$2=1,Assumptions!$H34/12,-(SUMIF($D$2:$EE$2,AR$2-1,$D33:$EE33)/12)*(1+XLOOKUP(AR$2,Assumptions!$C$94:$M$94,Assumptions!$C$98:$M$98))))</f>
        <v>-11074.17381</v>
      </c>
      <c r="AS33" s="54">
        <f t="array" ref="AS33">-(IF(AS$2=1,Assumptions!$H34/12,-(SUMIF($D$2:$EE$2,AS$2-1,$D33:$EE33)/12)*(1+XLOOKUP(AS$2,Assumptions!$C$94:$M$94,Assumptions!$C$98:$M$98))))</f>
        <v>-11074.17381</v>
      </c>
      <c r="AT33" s="54">
        <f t="array" ref="AT33">-(IF(AT$2=1,Assumptions!$H34/12,-(SUMIF($D$2:$EE$2,AT$2-1,$D33:$EE33)/12)*(1+XLOOKUP(AT$2,Assumptions!$C$94:$M$94,Assumptions!$C$98:$M$98))))</f>
        <v>-11074.17381</v>
      </c>
      <c r="AU33" s="54">
        <f t="array" ref="AU33">-(IF(AU$2=1,Assumptions!$H34/12,-(SUMIF($D$2:$EE$2,AU$2-1,$D33:$EE33)/12)*(1+XLOOKUP(AU$2,Assumptions!$C$94:$M$94,Assumptions!$C$98:$M$98))))</f>
        <v>-11074.17381</v>
      </c>
      <c r="AV33" s="54">
        <f t="array" ref="AV33">-(IF(AV$2=1,Assumptions!$H34/12,-(SUMIF($D$2:$EE$2,AV$2-1,$D33:$EE33)/12)*(1+XLOOKUP(AV$2,Assumptions!$C$94:$M$94,Assumptions!$C$98:$M$98))))</f>
        <v>-11074.17381</v>
      </c>
      <c r="AW33" s="54">
        <f t="array" ref="AW33">-(IF(AW$2=1,Assumptions!$H34/12,-(SUMIF($D$2:$EE$2,AW$2-1,$D33:$EE33)/12)*(1+XLOOKUP(AW$2,Assumptions!$C$94:$M$94,Assumptions!$C$98:$M$98))))</f>
        <v>-11074.17381</v>
      </c>
      <c r="AX33" s="54">
        <f t="array" ref="AX33">-(IF(AX$2=1,Assumptions!$H34/12,-(SUMIF($D$2:$EE$2,AX$2-1,$D33:$EE33)/12)*(1+XLOOKUP(AX$2,Assumptions!$C$94:$M$94,Assumptions!$C$98:$M$98))))</f>
        <v>-11074.17381</v>
      </c>
      <c r="AY33" s="54">
        <f t="array" ref="AY33">-(IF(AY$2=1,Assumptions!$H34/12,-(SUMIF($D$2:$EE$2,AY$2-1,$D33:$EE33)/12)*(1+XLOOKUP(AY$2,Assumptions!$C$94:$M$94,Assumptions!$C$98:$M$98))))</f>
        <v>-11074.17381</v>
      </c>
      <c r="AZ33" s="54">
        <f t="array" ref="AZ33">-(IF(AZ$2=1,Assumptions!$H34/12,-(SUMIF($D$2:$EE$2,AZ$2-1,$D33:$EE33)/12)*(1+XLOOKUP(AZ$2,Assumptions!$C$94:$M$94,Assumptions!$C$98:$M$98))))</f>
        <v>-11406.39903</v>
      </c>
      <c r="BA33" s="54">
        <f t="array" ref="BA33">-(IF(BA$2=1,Assumptions!$H34/12,-(SUMIF($D$2:$EE$2,BA$2-1,$D33:$EE33)/12)*(1+XLOOKUP(BA$2,Assumptions!$C$94:$M$94,Assumptions!$C$98:$M$98))))</f>
        <v>-11406.39903</v>
      </c>
      <c r="BB33" s="54">
        <f t="array" ref="BB33">-(IF(BB$2=1,Assumptions!$H34/12,-(SUMIF($D$2:$EE$2,BB$2-1,$D33:$EE33)/12)*(1+XLOOKUP(BB$2,Assumptions!$C$94:$M$94,Assumptions!$C$98:$M$98))))</f>
        <v>-11406.39903</v>
      </c>
      <c r="BC33" s="54">
        <f t="array" ref="BC33">-(IF(BC$2=1,Assumptions!$H34/12,-(SUMIF($D$2:$EE$2,BC$2-1,$D33:$EE33)/12)*(1+XLOOKUP(BC$2,Assumptions!$C$94:$M$94,Assumptions!$C$98:$M$98))))</f>
        <v>-11406.39903</v>
      </c>
      <c r="BD33" s="54">
        <f t="array" ref="BD33">-(IF(BD$2=1,Assumptions!$H34/12,-(SUMIF($D$2:$EE$2,BD$2-1,$D33:$EE33)/12)*(1+XLOOKUP(BD$2,Assumptions!$C$94:$M$94,Assumptions!$C$98:$M$98))))</f>
        <v>-11406.39903</v>
      </c>
      <c r="BE33" s="54">
        <f t="array" ref="BE33">-(IF(BE$2=1,Assumptions!$H34/12,-(SUMIF($D$2:$EE$2,BE$2-1,$D33:$EE33)/12)*(1+XLOOKUP(BE$2,Assumptions!$C$94:$M$94,Assumptions!$C$98:$M$98))))</f>
        <v>-11406.39903</v>
      </c>
      <c r="BF33" s="54">
        <f t="array" ref="BF33">-(IF(BF$2=1,Assumptions!$H34/12,-(SUMIF($D$2:$EE$2,BF$2-1,$D33:$EE33)/12)*(1+XLOOKUP(BF$2,Assumptions!$C$94:$M$94,Assumptions!$C$98:$M$98))))</f>
        <v>-11406.39903</v>
      </c>
      <c r="BG33" s="54">
        <f t="array" ref="BG33">-(IF(BG$2=1,Assumptions!$H34/12,-(SUMIF($D$2:$EE$2,BG$2-1,$D33:$EE33)/12)*(1+XLOOKUP(BG$2,Assumptions!$C$94:$M$94,Assumptions!$C$98:$M$98))))</f>
        <v>-11406.39903</v>
      </c>
      <c r="BH33" s="54">
        <f t="array" ref="BH33">-(IF(BH$2=1,Assumptions!$H34/12,-(SUMIF($D$2:$EE$2,BH$2-1,$D33:$EE33)/12)*(1+XLOOKUP(BH$2,Assumptions!$C$94:$M$94,Assumptions!$C$98:$M$98))))</f>
        <v>-11406.39903</v>
      </c>
      <c r="BI33" s="54">
        <f t="array" ref="BI33">-(IF(BI$2=1,Assumptions!$H34/12,-(SUMIF($D$2:$EE$2,BI$2-1,$D33:$EE33)/12)*(1+XLOOKUP(BI$2,Assumptions!$C$94:$M$94,Assumptions!$C$98:$M$98))))</f>
        <v>-11406.39903</v>
      </c>
      <c r="BJ33" s="54">
        <f t="array" ref="BJ33">-(IF(BJ$2=1,Assumptions!$H34/12,-(SUMIF($D$2:$EE$2,BJ$2-1,$D33:$EE33)/12)*(1+XLOOKUP(BJ$2,Assumptions!$C$94:$M$94,Assumptions!$C$98:$M$98))))</f>
        <v>-11406.39903</v>
      </c>
      <c r="BK33" s="54">
        <f t="array" ref="BK33">-(IF(BK$2=1,Assumptions!$H34/12,-(SUMIF($D$2:$EE$2,BK$2-1,$D33:$EE33)/12)*(1+XLOOKUP(BK$2,Assumptions!$C$94:$M$94,Assumptions!$C$98:$M$98))))</f>
        <v>-11406.39903</v>
      </c>
      <c r="BL33" s="54">
        <f t="array" ref="BL33">-(IF(BL$2=1,Assumptions!$H34/12,-(SUMIF($D$2:$EE$2,BL$2-1,$D33:$EE33)/12)*(1+XLOOKUP(BL$2,Assumptions!$C$94:$M$94,Assumptions!$C$98:$M$98))))</f>
        <v>-11748.591</v>
      </c>
      <c r="BM33" s="54">
        <f t="array" ref="BM33">-(IF(BM$2=1,Assumptions!$H34/12,-(SUMIF($D$2:$EE$2,BM$2-1,$D33:$EE33)/12)*(1+XLOOKUP(BM$2,Assumptions!$C$94:$M$94,Assumptions!$C$98:$M$98))))</f>
        <v>-11748.591</v>
      </c>
      <c r="BN33" s="54">
        <f t="array" ref="BN33">-(IF(BN$2=1,Assumptions!$H34/12,-(SUMIF($D$2:$EE$2,BN$2-1,$D33:$EE33)/12)*(1+XLOOKUP(BN$2,Assumptions!$C$94:$M$94,Assumptions!$C$98:$M$98))))</f>
        <v>-11748.591</v>
      </c>
      <c r="BO33" s="54">
        <f t="array" ref="BO33">-(IF(BO$2=1,Assumptions!$H34/12,-(SUMIF($D$2:$EE$2,BO$2-1,$D33:$EE33)/12)*(1+XLOOKUP(BO$2,Assumptions!$C$94:$M$94,Assumptions!$C$98:$M$98))))</f>
        <v>-11748.591</v>
      </c>
      <c r="BP33" s="54">
        <f t="array" ref="BP33">-(IF(BP$2=1,Assumptions!$H34/12,-(SUMIF($D$2:$EE$2,BP$2-1,$D33:$EE33)/12)*(1+XLOOKUP(BP$2,Assumptions!$C$94:$M$94,Assumptions!$C$98:$M$98))))</f>
        <v>-11748.591</v>
      </c>
      <c r="BQ33" s="54">
        <f t="array" ref="BQ33">-(IF(BQ$2=1,Assumptions!$H34/12,-(SUMIF($D$2:$EE$2,BQ$2-1,$D33:$EE33)/12)*(1+XLOOKUP(BQ$2,Assumptions!$C$94:$M$94,Assumptions!$C$98:$M$98))))</f>
        <v>-11748.591</v>
      </c>
      <c r="BR33" s="54">
        <f t="array" ref="BR33">-(IF(BR$2=1,Assumptions!$H34/12,-(SUMIF($D$2:$EE$2,BR$2-1,$D33:$EE33)/12)*(1+XLOOKUP(BR$2,Assumptions!$C$94:$M$94,Assumptions!$C$98:$M$98))))</f>
        <v>-11748.591</v>
      </c>
      <c r="BS33" s="54">
        <f t="array" ref="BS33">-(IF(BS$2=1,Assumptions!$H34/12,-(SUMIF($D$2:$EE$2,BS$2-1,$D33:$EE33)/12)*(1+XLOOKUP(BS$2,Assumptions!$C$94:$M$94,Assumptions!$C$98:$M$98))))</f>
        <v>-11748.591</v>
      </c>
      <c r="BT33" s="54">
        <f t="array" ref="BT33">-(IF(BT$2=1,Assumptions!$H34/12,-(SUMIF($D$2:$EE$2,BT$2-1,$D33:$EE33)/12)*(1+XLOOKUP(BT$2,Assumptions!$C$94:$M$94,Assumptions!$C$98:$M$98))))</f>
        <v>-11748.591</v>
      </c>
      <c r="BU33" s="54">
        <f t="array" ref="BU33">-(IF(BU$2=1,Assumptions!$H34/12,-(SUMIF($D$2:$EE$2,BU$2-1,$D33:$EE33)/12)*(1+XLOOKUP(BU$2,Assumptions!$C$94:$M$94,Assumptions!$C$98:$M$98))))</f>
        <v>-11748.591</v>
      </c>
      <c r="BV33" s="54">
        <f t="array" ref="BV33">-(IF(BV$2=1,Assumptions!$H34/12,-(SUMIF($D$2:$EE$2,BV$2-1,$D33:$EE33)/12)*(1+XLOOKUP(BV$2,Assumptions!$C$94:$M$94,Assumptions!$C$98:$M$98))))</f>
        <v>-11748.591</v>
      </c>
      <c r="BW33" s="54">
        <f t="array" ref="BW33">-(IF(BW$2=1,Assumptions!$H34/12,-(SUMIF($D$2:$EE$2,BW$2-1,$D33:$EE33)/12)*(1+XLOOKUP(BW$2,Assumptions!$C$94:$M$94,Assumptions!$C$98:$M$98))))</f>
        <v>-11748.591</v>
      </c>
      <c r="BX33" s="54">
        <f t="array" ref="BX33">-(IF(BX$2=1,Assumptions!$H34/12,-(SUMIF($D$2:$EE$2,BX$2-1,$D33:$EE33)/12)*(1+XLOOKUP(BX$2,Assumptions!$C$94:$M$94,Assumptions!$C$98:$M$98))))</f>
        <v>-12101.04873</v>
      </c>
      <c r="BY33" s="54">
        <f t="array" ref="BY33">-(IF(BY$2=1,Assumptions!$H34/12,-(SUMIF($D$2:$EE$2,BY$2-1,$D33:$EE33)/12)*(1+XLOOKUP(BY$2,Assumptions!$C$94:$M$94,Assumptions!$C$98:$M$98))))</f>
        <v>-12101.04873</v>
      </c>
      <c r="BZ33" s="54">
        <f t="array" ref="BZ33">-(IF(BZ$2=1,Assumptions!$H34/12,-(SUMIF($D$2:$EE$2,BZ$2-1,$D33:$EE33)/12)*(1+XLOOKUP(BZ$2,Assumptions!$C$94:$M$94,Assumptions!$C$98:$M$98))))</f>
        <v>-12101.04873</v>
      </c>
      <c r="CA33" s="54">
        <f t="array" ref="CA33">-(IF(CA$2=1,Assumptions!$H34/12,-(SUMIF($D$2:$EE$2,CA$2-1,$D33:$EE33)/12)*(1+XLOOKUP(CA$2,Assumptions!$C$94:$M$94,Assumptions!$C$98:$M$98))))</f>
        <v>-12101.04873</v>
      </c>
      <c r="CB33" s="54">
        <f t="array" ref="CB33">-(IF(CB$2=1,Assumptions!$H34/12,-(SUMIF($D$2:$EE$2,CB$2-1,$D33:$EE33)/12)*(1+XLOOKUP(CB$2,Assumptions!$C$94:$M$94,Assumptions!$C$98:$M$98))))</f>
        <v>-12101.04873</v>
      </c>
      <c r="CC33" s="54">
        <f t="array" ref="CC33">-(IF(CC$2=1,Assumptions!$H34/12,-(SUMIF($D$2:$EE$2,CC$2-1,$D33:$EE33)/12)*(1+XLOOKUP(CC$2,Assumptions!$C$94:$M$94,Assumptions!$C$98:$M$98))))</f>
        <v>-12101.04873</v>
      </c>
      <c r="CD33" s="54">
        <f t="array" ref="CD33">-(IF(CD$2=1,Assumptions!$H34/12,-(SUMIF($D$2:$EE$2,CD$2-1,$D33:$EE33)/12)*(1+XLOOKUP(CD$2,Assumptions!$C$94:$M$94,Assumptions!$C$98:$M$98))))</f>
        <v>-12101.04873</v>
      </c>
      <c r="CE33" s="54">
        <f t="array" ref="CE33">-(IF(CE$2=1,Assumptions!$H34/12,-(SUMIF($D$2:$EE$2,CE$2-1,$D33:$EE33)/12)*(1+XLOOKUP(CE$2,Assumptions!$C$94:$M$94,Assumptions!$C$98:$M$98))))</f>
        <v>-12101.04873</v>
      </c>
      <c r="CF33" s="54">
        <f t="array" ref="CF33">-(IF(CF$2=1,Assumptions!$H34/12,-(SUMIF($D$2:$EE$2,CF$2-1,$D33:$EE33)/12)*(1+XLOOKUP(CF$2,Assumptions!$C$94:$M$94,Assumptions!$C$98:$M$98))))</f>
        <v>-12101.04873</v>
      </c>
      <c r="CG33" s="54">
        <f t="array" ref="CG33">-(IF(CG$2=1,Assumptions!$H34/12,-(SUMIF($D$2:$EE$2,CG$2-1,$D33:$EE33)/12)*(1+XLOOKUP(CG$2,Assumptions!$C$94:$M$94,Assumptions!$C$98:$M$98))))</f>
        <v>-12101.04873</v>
      </c>
      <c r="CH33" s="54">
        <f t="array" ref="CH33">-(IF(CH$2=1,Assumptions!$H34/12,-(SUMIF($D$2:$EE$2,CH$2-1,$D33:$EE33)/12)*(1+XLOOKUP(CH$2,Assumptions!$C$94:$M$94,Assumptions!$C$98:$M$98))))</f>
        <v>-12101.04873</v>
      </c>
      <c r="CI33" s="54">
        <f t="array" ref="CI33">-(IF(CI$2=1,Assumptions!$H34/12,-(SUMIF($D$2:$EE$2,CI$2-1,$D33:$EE33)/12)*(1+XLOOKUP(CI$2,Assumptions!$C$94:$M$94,Assumptions!$C$98:$M$98))))</f>
        <v>-12101.04873</v>
      </c>
      <c r="CJ33" s="54">
        <f t="array" ref="CJ33">-(IF(CJ$2=1,Assumptions!$H34/12,-(SUMIF($D$2:$EE$2,CJ$2-1,$D33:$EE33)/12)*(1+XLOOKUP(CJ$2,Assumptions!$C$94:$M$94,Assumptions!$C$98:$M$98))))</f>
        <v>-12464.08019</v>
      </c>
      <c r="CK33" s="54">
        <f t="array" ref="CK33">-(IF(CK$2=1,Assumptions!$H34/12,-(SUMIF($D$2:$EE$2,CK$2-1,$D33:$EE33)/12)*(1+XLOOKUP(CK$2,Assumptions!$C$94:$M$94,Assumptions!$C$98:$M$98))))</f>
        <v>-12464.08019</v>
      </c>
      <c r="CL33" s="54">
        <f t="array" ref="CL33">-(IF(CL$2=1,Assumptions!$H34/12,-(SUMIF($D$2:$EE$2,CL$2-1,$D33:$EE33)/12)*(1+XLOOKUP(CL$2,Assumptions!$C$94:$M$94,Assumptions!$C$98:$M$98))))</f>
        <v>-12464.08019</v>
      </c>
      <c r="CM33" s="54">
        <f t="array" ref="CM33">-(IF(CM$2=1,Assumptions!$H34/12,-(SUMIF($D$2:$EE$2,CM$2-1,$D33:$EE33)/12)*(1+XLOOKUP(CM$2,Assumptions!$C$94:$M$94,Assumptions!$C$98:$M$98))))</f>
        <v>-12464.08019</v>
      </c>
      <c r="CN33" s="54">
        <f t="array" ref="CN33">-(IF(CN$2=1,Assumptions!$H34/12,-(SUMIF($D$2:$EE$2,CN$2-1,$D33:$EE33)/12)*(1+XLOOKUP(CN$2,Assumptions!$C$94:$M$94,Assumptions!$C$98:$M$98))))</f>
        <v>-12464.08019</v>
      </c>
      <c r="CO33" s="54">
        <f t="array" ref="CO33">-(IF(CO$2=1,Assumptions!$H34/12,-(SUMIF($D$2:$EE$2,CO$2-1,$D33:$EE33)/12)*(1+XLOOKUP(CO$2,Assumptions!$C$94:$M$94,Assumptions!$C$98:$M$98))))</f>
        <v>-12464.08019</v>
      </c>
      <c r="CP33" s="54">
        <f t="array" ref="CP33">-(IF(CP$2=1,Assumptions!$H34/12,-(SUMIF($D$2:$EE$2,CP$2-1,$D33:$EE33)/12)*(1+XLOOKUP(CP$2,Assumptions!$C$94:$M$94,Assumptions!$C$98:$M$98))))</f>
        <v>-12464.08019</v>
      </c>
      <c r="CQ33" s="54">
        <f t="array" ref="CQ33">-(IF(CQ$2=1,Assumptions!$H34/12,-(SUMIF($D$2:$EE$2,CQ$2-1,$D33:$EE33)/12)*(1+XLOOKUP(CQ$2,Assumptions!$C$94:$M$94,Assumptions!$C$98:$M$98))))</f>
        <v>-12464.08019</v>
      </c>
      <c r="CR33" s="54">
        <f t="array" ref="CR33">-(IF(CR$2=1,Assumptions!$H34/12,-(SUMIF($D$2:$EE$2,CR$2-1,$D33:$EE33)/12)*(1+XLOOKUP(CR$2,Assumptions!$C$94:$M$94,Assumptions!$C$98:$M$98))))</f>
        <v>-12464.08019</v>
      </c>
      <c r="CS33" s="54">
        <f t="array" ref="CS33">-(IF(CS$2=1,Assumptions!$H34/12,-(SUMIF($D$2:$EE$2,CS$2-1,$D33:$EE33)/12)*(1+XLOOKUP(CS$2,Assumptions!$C$94:$M$94,Assumptions!$C$98:$M$98))))</f>
        <v>-12464.08019</v>
      </c>
      <c r="CT33" s="54">
        <f t="array" ref="CT33">-(IF(CT$2=1,Assumptions!$H34/12,-(SUMIF($D$2:$EE$2,CT$2-1,$D33:$EE33)/12)*(1+XLOOKUP(CT$2,Assumptions!$C$94:$M$94,Assumptions!$C$98:$M$98))))</f>
        <v>-12464.08019</v>
      </c>
      <c r="CU33" s="54">
        <f t="array" ref="CU33">-(IF(CU$2=1,Assumptions!$H34/12,-(SUMIF($D$2:$EE$2,CU$2-1,$D33:$EE33)/12)*(1+XLOOKUP(CU$2,Assumptions!$C$94:$M$94,Assumptions!$C$98:$M$98))))</f>
        <v>-12464.08019</v>
      </c>
      <c r="CV33" s="54">
        <f t="array" ref="CV33">-(IF(CV$2=1,Assumptions!$H34/12,-(SUMIF($D$2:$EE$2,CV$2-1,$D33:$EE33)/12)*(1+XLOOKUP(CV$2,Assumptions!$C$94:$M$94,Assumptions!$C$98:$M$98))))</f>
        <v>-12838.0026</v>
      </c>
      <c r="CW33" s="54">
        <f t="array" ref="CW33">-(IF(CW$2=1,Assumptions!$H34/12,-(SUMIF($D$2:$EE$2,CW$2-1,$D33:$EE33)/12)*(1+XLOOKUP(CW$2,Assumptions!$C$94:$M$94,Assumptions!$C$98:$M$98))))</f>
        <v>-12838.0026</v>
      </c>
      <c r="CX33" s="54">
        <f t="array" ref="CX33">-(IF(CX$2=1,Assumptions!$H34/12,-(SUMIF($D$2:$EE$2,CX$2-1,$D33:$EE33)/12)*(1+XLOOKUP(CX$2,Assumptions!$C$94:$M$94,Assumptions!$C$98:$M$98))))</f>
        <v>-12838.0026</v>
      </c>
      <c r="CY33" s="54">
        <f t="array" ref="CY33">-(IF(CY$2=1,Assumptions!$H34/12,-(SUMIF($D$2:$EE$2,CY$2-1,$D33:$EE33)/12)*(1+XLOOKUP(CY$2,Assumptions!$C$94:$M$94,Assumptions!$C$98:$M$98))))</f>
        <v>-12838.0026</v>
      </c>
      <c r="CZ33" s="54">
        <f t="array" ref="CZ33">-(IF(CZ$2=1,Assumptions!$H34/12,-(SUMIF($D$2:$EE$2,CZ$2-1,$D33:$EE33)/12)*(1+XLOOKUP(CZ$2,Assumptions!$C$94:$M$94,Assumptions!$C$98:$M$98))))</f>
        <v>-12838.0026</v>
      </c>
      <c r="DA33" s="54">
        <f t="array" ref="DA33">-(IF(DA$2=1,Assumptions!$H34/12,-(SUMIF($D$2:$EE$2,DA$2-1,$D33:$EE33)/12)*(1+XLOOKUP(DA$2,Assumptions!$C$94:$M$94,Assumptions!$C$98:$M$98))))</f>
        <v>-12838.0026</v>
      </c>
      <c r="DB33" s="54">
        <f t="array" ref="DB33">-(IF(DB$2=1,Assumptions!$H34/12,-(SUMIF($D$2:$EE$2,DB$2-1,$D33:$EE33)/12)*(1+XLOOKUP(DB$2,Assumptions!$C$94:$M$94,Assumptions!$C$98:$M$98))))</f>
        <v>-12838.0026</v>
      </c>
      <c r="DC33" s="54">
        <f t="array" ref="DC33">-(IF(DC$2=1,Assumptions!$H34/12,-(SUMIF($D$2:$EE$2,DC$2-1,$D33:$EE33)/12)*(1+XLOOKUP(DC$2,Assumptions!$C$94:$M$94,Assumptions!$C$98:$M$98))))</f>
        <v>-12838.0026</v>
      </c>
      <c r="DD33" s="54">
        <f t="array" ref="DD33">-(IF(DD$2=1,Assumptions!$H34/12,-(SUMIF($D$2:$EE$2,DD$2-1,$D33:$EE33)/12)*(1+XLOOKUP(DD$2,Assumptions!$C$94:$M$94,Assumptions!$C$98:$M$98))))</f>
        <v>-12838.0026</v>
      </c>
      <c r="DE33" s="54">
        <f t="array" ref="DE33">-(IF(DE$2=1,Assumptions!$H34/12,-(SUMIF($D$2:$EE$2,DE$2-1,$D33:$EE33)/12)*(1+XLOOKUP(DE$2,Assumptions!$C$94:$M$94,Assumptions!$C$98:$M$98))))</f>
        <v>-12838.0026</v>
      </c>
      <c r="DF33" s="54">
        <f t="array" ref="DF33">-(IF(DF$2=1,Assumptions!$H34/12,-(SUMIF($D$2:$EE$2,DF$2-1,$D33:$EE33)/12)*(1+XLOOKUP(DF$2,Assumptions!$C$94:$M$94,Assumptions!$C$98:$M$98))))</f>
        <v>-12838.0026</v>
      </c>
      <c r="DG33" s="54">
        <f t="array" ref="DG33">-(IF(DG$2=1,Assumptions!$H34/12,-(SUMIF($D$2:$EE$2,DG$2-1,$D33:$EE33)/12)*(1+XLOOKUP(DG$2,Assumptions!$C$94:$M$94,Assumptions!$C$98:$M$98))))</f>
        <v>-12838.0026</v>
      </c>
      <c r="DH33" s="54">
        <f t="array" ref="DH33">-(IF(DH$2=1,Assumptions!$H34/12,-(SUMIF($D$2:$EE$2,DH$2-1,$D33:$EE33)/12)*(1+XLOOKUP(DH$2,Assumptions!$C$94:$M$94,Assumptions!$C$98:$M$98))))</f>
        <v>-13223.14267</v>
      </c>
      <c r="DI33" s="54">
        <f t="array" ref="DI33">-(IF(DI$2=1,Assumptions!$H34/12,-(SUMIF($D$2:$EE$2,DI$2-1,$D33:$EE33)/12)*(1+XLOOKUP(DI$2,Assumptions!$C$94:$M$94,Assumptions!$C$98:$M$98))))</f>
        <v>-13223.14267</v>
      </c>
      <c r="DJ33" s="54">
        <f t="array" ref="DJ33">-(IF(DJ$2=1,Assumptions!$H34/12,-(SUMIF($D$2:$EE$2,DJ$2-1,$D33:$EE33)/12)*(1+XLOOKUP(DJ$2,Assumptions!$C$94:$M$94,Assumptions!$C$98:$M$98))))</f>
        <v>-13223.14267</v>
      </c>
      <c r="DK33" s="54">
        <f t="array" ref="DK33">-(IF(DK$2=1,Assumptions!$H34/12,-(SUMIF($D$2:$EE$2,DK$2-1,$D33:$EE33)/12)*(1+XLOOKUP(DK$2,Assumptions!$C$94:$M$94,Assumptions!$C$98:$M$98))))</f>
        <v>-13223.14267</v>
      </c>
      <c r="DL33" s="54">
        <f t="array" ref="DL33">-(IF(DL$2=1,Assumptions!$H34/12,-(SUMIF($D$2:$EE$2,DL$2-1,$D33:$EE33)/12)*(1+XLOOKUP(DL$2,Assumptions!$C$94:$M$94,Assumptions!$C$98:$M$98))))</f>
        <v>-13223.14267</v>
      </c>
      <c r="DM33" s="54">
        <f t="array" ref="DM33">-(IF(DM$2=1,Assumptions!$H34/12,-(SUMIF($D$2:$EE$2,DM$2-1,$D33:$EE33)/12)*(1+XLOOKUP(DM$2,Assumptions!$C$94:$M$94,Assumptions!$C$98:$M$98))))</f>
        <v>-13223.14267</v>
      </c>
      <c r="DN33" s="54">
        <f t="array" ref="DN33">-(IF(DN$2=1,Assumptions!$H34/12,-(SUMIF($D$2:$EE$2,DN$2-1,$D33:$EE33)/12)*(1+XLOOKUP(DN$2,Assumptions!$C$94:$M$94,Assumptions!$C$98:$M$98))))</f>
        <v>-13223.14267</v>
      </c>
      <c r="DO33" s="54">
        <f t="array" ref="DO33">-(IF(DO$2=1,Assumptions!$H34/12,-(SUMIF($D$2:$EE$2,DO$2-1,$D33:$EE33)/12)*(1+XLOOKUP(DO$2,Assumptions!$C$94:$M$94,Assumptions!$C$98:$M$98))))</f>
        <v>-13223.14267</v>
      </c>
      <c r="DP33" s="54">
        <f t="array" ref="DP33">-(IF(DP$2=1,Assumptions!$H34/12,-(SUMIF($D$2:$EE$2,DP$2-1,$D33:$EE33)/12)*(1+XLOOKUP(DP$2,Assumptions!$C$94:$M$94,Assumptions!$C$98:$M$98))))</f>
        <v>-13223.14267</v>
      </c>
      <c r="DQ33" s="54">
        <f t="array" ref="DQ33">-(IF(DQ$2=1,Assumptions!$H34/12,-(SUMIF($D$2:$EE$2,DQ$2-1,$D33:$EE33)/12)*(1+XLOOKUP(DQ$2,Assumptions!$C$94:$M$94,Assumptions!$C$98:$M$98))))</f>
        <v>-13223.14267</v>
      </c>
      <c r="DR33" s="54">
        <f t="array" ref="DR33">-(IF(DR$2=1,Assumptions!$H34/12,-(SUMIF($D$2:$EE$2,DR$2-1,$D33:$EE33)/12)*(1+XLOOKUP(DR$2,Assumptions!$C$94:$M$94,Assumptions!$C$98:$M$98))))</f>
        <v>-13223.14267</v>
      </c>
      <c r="DS33" s="54">
        <f t="array" ref="DS33">-(IF(DS$2=1,Assumptions!$H34/12,-(SUMIF($D$2:$EE$2,DS$2-1,$D33:$EE33)/12)*(1+XLOOKUP(DS$2,Assumptions!$C$94:$M$94,Assumptions!$C$98:$M$98))))</f>
        <v>-13223.14267</v>
      </c>
      <c r="DT33" s="54">
        <f t="array" ref="DT33">-(IF(DT$2=1,Assumptions!$H34/12,-(SUMIF($D$2:$EE$2,DT$2-1,$D33:$EE33)/12)*(1+XLOOKUP(DT$2,Assumptions!$C$94:$M$94,Assumptions!$C$98:$M$98))))</f>
        <v>-13619.83695</v>
      </c>
      <c r="DU33" s="54">
        <f t="array" ref="DU33">-(IF(DU$2=1,Assumptions!$H34/12,-(SUMIF($D$2:$EE$2,DU$2-1,$D33:$EE33)/12)*(1+XLOOKUP(DU$2,Assumptions!$C$94:$M$94,Assumptions!$C$98:$M$98))))</f>
        <v>-13619.83695</v>
      </c>
      <c r="DV33" s="54">
        <f t="array" ref="DV33">-(IF(DV$2=1,Assumptions!$H34/12,-(SUMIF($D$2:$EE$2,DV$2-1,$D33:$EE33)/12)*(1+XLOOKUP(DV$2,Assumptions!$C$94:$M$94,Assumptions!$C$98:$M$98))))</f>
        <v>-13619.83695</v>
      </c>
      <c r="DW33" s="54">
        <f t="array" ref="DW33">-(IF(DW$2=1,Assumptions!$H34/12,-(SUMIF($D$2:$EE$2,DW$2-1,$D33:$EE33)/12)*(1+XLOOKUP(DW$2,Assumptions!$C$94:$M$94,Assumptions!$C$98:$M$98))))</f>
        <v>-13619.83695</v>
      </c>
      <c r="DX33" s="54">
        <f t="array" ref="DX33">-(IF(DX$2=1,Assumptions!$H34/12,-(SUMIF($D$2:$EE$2,DX$2-1,$D33:$EE33)/12)*(1+XLOOKUP(DX$2,Assumptions!$C$94:$M$94,Assumptions!$C$98:$M$98))))</f>
        <v>-13619.83695</v>
      </c>
      <c r="DY33" s="54">
        <f t="array" ref="DY33">-(IF(DY$2=1,Assumptions!$H34/12,-(SUMIF($D$2:$EE$2,DY$2-1,$D33:$EE33)/12)*(1+XLOOKUP(DY$2,Assumptions!$C$94:$M$94,Assumptions!$C$98:$M$98))))</f>
        <v>-13619.83695</v>
      </c>
      <c r="DZ33" s="54">
        <f t="array" ref="DZ33">-(IF(DZ$2=1,Assumptions!$H34/12,-(SUMIF($D$2:$EE$2,DZ$2-1,$D33:$EE33)/12)*(1+XLOOKUP(DZ$2,Assumptions!$C$94:$M$94,Assumptions!$C$98:$M$98))))</f>
        <v>-13619.83695</v>
      </c>
      <c r="EA33" s="54">
        <f t="array" ref="EA33">-(IF(EA$2=1,Assumptions!$H34/12,-(SUMIF($D$2:$EE$2,EA$2-1,$D33:$EE33)/12)*(1+XLOOKUP(EA$2,Assumptions!$C$94:$M$94,Assumptions!$C$98:$M$98))))</f>
        <v>-13619.83695</v>
      </c>
      <c r="EB33" s="54">
        <f t="array" ref="EB33">-(IF(EB$2=1,Assumptions!$H34/12,-(SUMIF($D$2:$EE$2,EB$2-1,$D33:$EE33)/12)*(1+XLOOKUP(EB$2,Assumptions!$C$94:$M$94,Assumptions!$C$98:$M$98))))</f>
        <v>-13619.83695</v>
      </c>
      <c r="EC33" s="54">
        <f t="array" ref="EC33">-(IF(EC$2=1,Assumptions!$H34/12,-(SUMIF($D$2:$EE$2,EC$2-1,$D33:$EE33)/12)*(1+XLOOKUP(EC$2,Assumptions!$C$94:$M$94,Assumptions!$C$98:$M$98))))</f>
        <v>-13619.83695</v>
      </c>
      <c r="ED33" s="54">
        <f t="array" ref="ED33">-(IF(ED$2=1,Assumptions!$H34/12,-(SUMIF($D$2:$EE$2,ED$2-1,$D33:$EE33)/12)*(1+XLOOKUP(ED$2,Assumptions!$C$94:$M$94,Assumptions!$C$98:$M$98))))</f>
        <v>-13619.83695</v>
      </c>
      <c r="EE33" s="54">
        <f t="array" ref="EE33">-(IF(EE$2=1,Assumptions!$H34/12,-(SUMIF($D$2:$EE$2,EE$2-1,$D33:$EE33)/12)*(1+XLOOKUP(EE$2,Assumptions!$C$94:$M$94,Assumptions!$C$98:$M$98))))</f>
        <v>-13619.83695</v>
      </c>
    </row>
    <row r="34" ht="15.75" customHeight="1">
      <c r="A34" s="1"/>
      <c r="B34" s="1"/>
      <c r="C34" s="1" t="str">
        <f>Assumptions!B35</f>
        <v>Insurance</v>
      </c>
      <c r="D34" s="54">
        <f t="array" ref="D34">-(IF(D$2=1,Assumptions!$H35/12,-(SUMIF($D$2:$EE$2,D$2-1,$D34:$EE34)/12)*(1+XLOOKUP(D$2,Assumptions!$C$94:$M$94,Assumptions!$C$98:$M$98))))</f>
        <v>-2784.62045</v>
      </c>
      <c r="E34" s="54">
        <f t="array" ref="E34">-(IF(E$2=1,Assumptions!$H35/12,-(SUMIF($D$2:$EE$2,E$2-1,$D34:$EE34)/12)*(1+XLOOKUP(E$2,Assumptions!$C$94:$M$94,Assumptions!$C$98:$M$98))))</f>
        <v>-2784.62045</v>
      </c>
      <c r="F34" s="54">
        <f t="array" ref="F34">-(IF(F$2=1,Assumptions!$H35/12,-(SUMIF($D$2:$EE$2,F$2-1,$D34:$EE34)/12)*(1+XLOOKUP(F$2,Assumptions!$C$94:$M$94,Assumptions!$C$98:$M$98))))</f>
        <v>-2784.62045</v>
      </c>
      <c r="G34" s="54">
        <f t="array" ref="G34">-(IF(G$2=1,Assumptions!$H35/12,-(SUMIF($D$2:$EE$2,G$2-1,$D34:$EE34)/12)*(1+XLOOKUP(G$2,Assumptions!$C$94:$M$94,Assumptions!$C$98:$M$98))))</f>
        <v>-2784.62045</v>
      </c>
      <c r="H34" s="54">
        <f t="array" ref="H34">-(IF(H$2=1,Assumptions!$H35/12,-(SUMIF($D$2:$EE$2,H$2-1,$D34:$EE34)/12)*(1+XLOOKUP(H$2,Assumptions!$C$94:$M$94,Assumptions!$C$98:$M$98))))</f>
        <v>-2784.62045</v>
      </c>
      <c r="I34" s="54">
        <f t="array" ref="I34">-(IF(I$2=1,Assumptions!$H35/12,-(SUMIF($D$2:$EE$2,I$2-1,$D34:$EE34)/12)*(1+XLOOKUP(I$2,Assumptions!$C$94:$M$94,Assumptions!$C$98:$M$98))))</f>
        <v>-2784.62045</v>
      </c>
      <c r="J34" s="54">
        <f t="array" ref="J34">-(IF(J$2=1,Assumptions!$H35/12,-(SUMIF($D$2:$EE$2,J$2-1,$D34:$EE34)/12)*(1+XLOOKUP(J$2,Assumptions!$C$94:$M$94,Assumptions!$C$98:$M$98))))</f>
        <v>-2784.62045</v>
      </c>
      <c r="K34" s="54">
        <f t="array" ref="K34">-(IF(K$2=1,Assumptions!$H35/12,-(SUMIF($D$2:$EE$2,K$2-1,$D34:$EE34)/12)*(1+XLOOKUP(K$2,Assumptions!$C$94:$M$94,Assumptions!$C$98:$M$98))))</f>
        <v>-2784.62045</v>
      </c>
      <c r="L34" s="54">
        <f t="array" ref="L34">-(IF(L$2=1,Assumptions!$H35/12,-(SUMIF($D$2:$EE$2,L$2-1,$D34:$EE34)/12)*(1+XLOOKUP(L$2,Assumptions!$C$94:$M$94,Assumptions!$C$98:$M$98))))</f>
        <v>-2784.62045</v>
      </c>
      <c r="M34" s="54">
        <f t="array" ref="M34">-(IF(M$2=1,Assumptions!$H35/12,-(SUMIF($D$2:$EE$2,M$2-1,$D34:$EE34)/12)*(1+XLOOKUP(M$2,Assumptions!$C$94:$M$94,Assumptions!$C$98:$M$98))))</f>
        <v>-2784.62045</v>
      </c>
      <c r="N34" s="54">
        <f t="array" ref="N34">-(IF(N$2=1,Assumptions!$H35/12,-(SUMIF($D$2:$EE$2,N$2-1,$D34:$EE34)/12)*(1+XLOOKUP(N$2,Assumptions!$C$94:$M$94,Assumptions!$C$98:$M$98))))</f>
        <v>-2784.62045</v>
      </c>
      <c r="O34" s="54">
        <f t="array" ref="O34">-(IF(O$2=1,Assumptions!$H35/12,-(SUMIF($D$2:$EE$2,O$2-1,$D34:$EE34)/12)*(1+XLOOKUP(O$2,Assumptions!$C$94:$M$94,Assumptions!$C$98:$M$98))))</f>
        <v>-2784.62045</v>
      </c>
      <c r="P34" s="54">
        <f t="array" ref="P34">-(IF(P$2=1,Assumptions!$H35/12,-(SUMIF($D$2:$EE$2,P$2-1,$D34:$EE34)/12)*(1+XLOOKUP(P$2,Assumptions!$C$94:$M$94,Assumptions!$C$98:$M$98))))</f>
        <v>-2868.159064</v>
      </c>
      <c r="Q34" s="54">
        <f t="array" ref="Q34">-(IF(Q$2=1,Assumptions!$H35/12,-(SUMIF($D$2:$EE$2,Q$2-1,$D34:$EE34)/12)*(1+XLOOKUP(Q$2,Assumptions!$C$94:$M$94,Assumptions!$C$98:$M$98))))</f>
        <v>-2868.159064</v>
      </c>
      <c r="R34" s="54">
        <f t="array" ref="R34">-(IF(R$2=1,Assumptions!$H35/12,-(SUMIF($D$2:$EE$2,R$2-1,$D34:$EE34)/12)*(1+XLOOKUP(R$2,Assumptions!$C$94:$M$94,Assumptions!$C$98:$M$98))))</f>
        <v>-2868.159064</v>
      </c>
      <c r="S34" s="54">
        <f t="array" ref="S34">-(IF(S$2=1,Assumptions!$H35/12,-(SUMIF($D$2:$EE$2,S$2-1,$D34:$EE34)/12)*(1+XLOOKUP(S$2,Assumptions!$C$94:$M$94,Assumptions!$C$98:$M$98))))</f>
        <v>-2868.159064</v>
      </c>
      <c r="T34" s="54">
        <f t="array" ref="T34">-(IF(T$2=1,Assumptions!$H35/12,-(SUMIF($D$2:$EE$2,T$2-1,$D34:$EE34)/12)*(1+XLOOKUP(T$2,Assumptions!$C$94:$M$94,Assumptions!$C$98:$M$98))))</f>
        <v>-2868.159064</v>
      </c>
      <c r="U34" s="54">
        <f t="array" ref="U34">-(IF(U$2=1,Assumptions!$H35/12,-(SUMIF($D$2:$EE$2,U$2-1,$D34:$EE34)/12)*(1+XLOOKUP(U$2,Assumptions!$C$94:$M$94,Assumptions!$C$98:$M$98))))</f>
        <v>-2868.159064</v>
      </c>
      <c r="V34" s="54">
        <f t="array" ref="V34">-(IF(V$2=1,Assumptions!$H35/12,-(SUMIF($D$2:$EE$2,V$2-1,$D34:$EE34)/12)*(1+XLOOKUP(V$2,Assumptions!$C$94:$M$94,Assumptions!$C$98:$M$98))))</f>
        <v>-2868.159064</v>
      </c>
      <c r="W34" s="54">
        <f t="array" ref="W34">-(IF(W$2=1,Assumptions!$H35/12,-(SUMIF($D$2:$EE$2,W$2-1,$D34:$EE34)/12)*(1+XLOOKUP(W$2,Assumptions!$C$94:$M$94,Assumptions!$C$98:$M$98))))</f>
        <v>-2868.159064</v>
      </c>
      <c r="X34" s="54">
        <f t="array" ref="X34">-(IF(X$2=1,Assumptions!$H35/12,-(SUMIF($D$2:$EE$2,X$2-1,$D34:$EE34)/12)*(1+XLOOKUP(X$2,Assumptions!$C$94:$M$94,Assumptions!$C$98:$M$98))))</f>
        <v>-2868.159064</v>
      </c>
      <c r="Y34" s="54">
        <f t="array" ref="Y34">-(IF(Y$2=1,Assumptions!$H35/12,-(SUMIF($D$2:$EE$2,Y$2-1,$D34:$EE34)/12)*(1+XLOOKUP(Y$2,Assumptions!$C$94:$M$94,Assumptions!$C$98:$M$98))))</f>
        <v>-2868.159064</v>
      </c>
      <c r="Z34" s="54">
        <f t="array" ref="Z34">-(IF(Z$2=1,Assumptions!$H35/12,-(SUMIF($D$2:$EE$2,Z$2-1,$D34:$EE34)/12)*(1+XLOOKUP(Z$2,Assumptions!$C$94:$M$94,Assumptions!$C$98:$M$98))))</f>
        <v>-2868.159064</v>
      </c>
      <c r="AA34" s="54">
        <f t="array" ref="AA34">-(IF(AA$2=1,Assumptions!$H35/12,-(SUMIF($D$2:$EE$2,AA$2-1,$D34:$EE34)/12)*(1+XLOOKUP(AA$2,Assumptions!$C$94:$M$94,Assumptions!$C$98:$M$98))))</f>
        <v>-2868.159064</v>
      </c>
      <c r="AB34" s="54">
        <f t="array" ref="AB34">-(IF(AB$2=1,Assumptions!$H35/12,-(SUMIF($D$2:$EE$2,AB$2-1,$D34:$EE34)/12)*(1+XLOOKUP(AB$2,Assumptions!$C$94:$M$94,Assumptions!$C$98:$M$98))))</f>
        <v>-2954.203835</v>
      </c>
      <c r="AC34" s="54">
        <f t="array" ref="AC34">-(IF(AC$2=1,Assumptions!$H35/12,-(SUMIF($D$2:$EE$2,AC$2-1,$D34:$EE34)/12)*(1+XLOOKUP(AC$2,Assumptions!$C$94:$M$94,Assumptions!$C$98:$M$98))))</f>
        <v>-2954.203835</v>
      </c>
      <c r="AD34" s="54">
        <f t="array" ref="AD34">-(IF(AD$2=1,Assumptions!$H35/12,-(SUMIF($D$2:$EE$2,AD$2-1,$D34:$EE34)/12)*(1+XLOOKUP(AD$2,Assumptions!$C$94:$M$94,Assumptions!$C$98:$M$98))))</f>
        <v>-2954.203835</v>
      </c>
      <c r="AE34" s="54">
        <f t="array" ref="AE34">-(IF(AE$2=1,Assumptions!$H35/12,-(SUMIF($D$2:$EE$2,AE$2-1,$D34:$EE34)/12)*(1+XLOOKUP(AE$2,Assumptions!$C$94:$M$94,Assumptions!$C$98:$M$98))))</f>
        <v>-2954.203835</v>
      </c>
      <c r="AF34" s="54">
        <f t="array" ref="AF34">-(IF(AF$2=1,Assumptions!$H35/12,-(SUMIF($D$2:$EE$2,AF$2-1,$D34:$EE34)/12)*(1+XLOOKUP(AF$2,Assumptions!$C$94:$M$94,Assumptions!$C$98:$M$98))))</f>
        <v>-2954.203835</v>
      </c>
      <c r="AG34" s="54">
        <f t="array" ref="AG34">-(IF(AG$2=1,Assumptions!$H35/12,-(SUMIF($D$2:$EE$2,AG$2-1,$D34:$EE34)/12)*(1+XLOOKUP(AG$2,Assumptions!$C$94:$M$94,Assumptions!$C$98:$M$98))))</f>
        <v>-2954.203835</v>
      </c>
      <c r="AH34" s="54">
        <f t="array" ref="AH34">-(IF(AH$2=1,Assumptions!$H35/12,-(SUMIF($D$2:$EE$2,AH$2-1,$D34:$EE34)/12)*(1+XLOOKUP(AH$2,Assumptions!$C$94:$M$94,Assumptions!$C$98:$M$98))))</f>
        <v>-2954.203835</v>
      </c>
      <c r="AI34" s="54">
        <f t="array" ref="AI34">-(IF(AI$2=1,Assumptions!$H35/12,-(SUMIF($D$2:$EE$2,AI$2-1,$D34:$EE34)/12)*(1+XLOOKUP(AI$2,Assumptions!$C$94:$M$94,Assumptions!$C$98:$M$98))))</f>
        <v>-2954.203835</v>
      </c>
      <c r="AJ34" s="54">
        <f t="array" ref="AJ34">-(IF(AJ$2=1,Assumptions!$H35/12,-(SUMIF($D$2:$EE$2,AJ$2-1,$D34:$EE34)/12)*(1+XLOOKUP(AJ$2,Assumptions!$C$94:$M$94,Assumptions!$C$98:$M$98))))</f>
        <v>-2954.203835</v>
      </c>
      <c r="AK34" s="54">
        <f t="array" ref="AK34">-(IF(AK$2=1,Assumptions!$H35/12,-(SUMIF($D$2:$EE$2,AK$2-1,$D34:$EE34)/12)*(1+XLOOKUP(AK$2,Assumptions!$C$94:$M$94,Assumptions!$C$98:$M$98))))</f>
        <v>-2954.203835</v>
      </c>
      <c r="AL34" s="54">
        <f t="array" ref="AL34">-(IF(AL$2=1,Assumptions!$H35/12,-(SUMIF($D$2:$EE$2,AL$2-1,$D34:$EE34)/12)*(1+XLOOKUP(AL$2,Assumptions!$C$94:$M$94,Assumptions!$C$98:$M$98))))</f>
        <v>-2954.203835</v>
      </c>
      <c r="AM34" s="54">
        <f t="array" ref="AM34">-(IF(AM$2=1,Assumptions!$H35/12,-(SUMIF($D$2:$EE$2,AM$2-1,$D34:$EE34)/12)*(1+XLOOKUP(AM$2,Assumptions!$C$94:$M$94,Assumptions!$C$98:$M$98))))</f>
        <v>-2954.203835</v>
      </c>
      <c r="AN34" s="54">
        <f t="array" ref="AN34">-(IF(AN$2=1,Assumptions!$H35/12,-(SUMIF($D$2:$EE$2,AN$2-1,$D34:$EE34)/12)*(1+XLOOKUP(AN$2,Assumptions!$C$94:$M$94,Assumptions!$C$98:$M$98))))</f>
        <v>-3042.82995</v>
      </c>
      <c r="AO34" s="54">
        <f t="array" ref="AO34">-(IF(AO$2=1,Assumptions!$H35/12,-(SUMIF($D$2:$EE$2,AO$2-1,$D34:$EE34)/12)*(1+XLOOKUP(AO$2,Assumptions!$C$94:$M$94,Assumptions!$C$98:$M$98))))</f>
        <v>-3042.82995</v>
      </c>
      <c r="AP34" s="54">
        <f t="array" ref="AP34">-(IF(AP$2=1,Assumptions!$H35/12,-(SUMIF($D$2:$EE$2,AP$2-1,$D34:$EE34)/12)*(1+XLOOKUP(AP$2,Assumptions!$C$94:$M$94,Assumptions!$C$98:$M$98))))</f>
        <v>-3042.82995</v>
      </c>
      <c r="AQ34" s="54">
        <f t="array" ref="AQ34">-(IF(AQ$2=1,Assumptions!$H35/12,-(SUMIF($D$2:$EE$2,AQ$2-1,$D34:$EE34)/12)*(1+XLOOKUP(AQ$2,Assumptions!$C$94:$M$94,Assumptions!$C$98:$M$98))))</f>
        <v>-3042.82995</v>
      </c>
      <c r="AR34" s="54">
        <f t="array" ref="AR34">-(IF(AR$2=1,Assumptions!$H35/12,-(SUMIF($D$2:$EE$2,AR$2-1,$D34:$EE34)/12)*(1+XLOOKUP(AR$2,Assumptions!$C$94:$M$94,Assumptions!$C$98:$M$98))))</f>
        <v>-3042.82995</v>
      </c>
      <c r="AS34" s="54">
        <f t="array" ref="AS34">-(IF(AS$2=1,Assumptions!$H35/12,-(SUMIF($D$2:$EE$2,AS$2-1,$D34:$EE34)/12)*(1+XLOOKUP(AS$2,Assumptions!$C$94:$M$94,Assumptions!$C$98:$M$98))))</f>
        <v>-3042.82995</v>
      </c>
      <c r="AT34" s="54">
        <f t="array" ref="AT34">-(IF(AT$2=1,Assumptions!$H35/12,-(SUMIF($D$2:$EE$2,AT$2-1,$D34:$EE34)/12)*(1+XLOOKUP(AT$2,Assumptions!$C$94:$M$94,Assumptions!$C$98:$M$98))))</f>
        <v>-3042.82995</v>
      </c>
      <c r="AU34" s="54">
        <f t="array" ref="AU34">-(IF(AU$2=1,Assumptions!$H35/12,-(SUMIF($D$2:$EE$2,AU$2-1,$D34:$EE34)/12)*(1+XLOOKUP(AU$2,Assumptions!$C$94:$M$94,Assumptions!$C$98:$M$98))))</f>
        <v>-3042.82995</v>
      </c>
      <c r="AV34" s="54">
        <f t="array" ref="AV34">-(IF(AV$2=1,Assumptions!$H35/12,-(SUMIF($D$2:$EE$2,AV$2-1,$D34:$EE34)/12)*(1+XLOOKUP(AV$2,Assumptions!$C$94:$M$94,Assumptions!$C$98:$M$98))))</f>
        <v>-3042.82995</v>
      </c>
      <c r="AW34" s="54">
        <f t="array" ref="AW34">-(IF(AW$2=1,Assumptions!$H35/12,-(SUMIF($D$2:$EE$2,AW$2-1,$D34:$EE34)/12)*(1+XLOOKUP(AW$2,Assumptions!$C$94:$M$94,Assumptions!$C$98:$M$98))))</f>
        <v>-3042.82995</v>
      </c>
      <c r="AX34" s="54">
        <f t="array" ref="AX34">-(IF(AX$2=1,Assumptions!$H35/12,-(SUMIF($D$2:$EE$2,AX$2-1,$D34:$EE34)/12)*(1+XLOOKUP(AX$2,Assumptions!$C$94:$M$94,Assumptions!$C$98:$M$98))))</f>
        <v>-3042.82995</v>
      </c>
      <c r="AY34" s="54">
        <f t="array" ref="AY34">-(IF(AY$2=1,Assumptions!$H35/12,-(SUMIF($D$2:$EE$2,AY$2-1,$D34:$EE34)/12)*(1+XLOOKUP(AY$2,Assumptions!$C$94:$M$94,Assumptions!$C$98:$M$98))))</f>
        <v>-3042.82995</v>
      </c>
      <c r="AZ34" s="54">
        <f t="array" ref="AZ34">-(IF(AZ$2=1,Assumptions!$H35/12,-(SUMIF($D$2:$EE$2,AZ$2-1,$D34:$EE34)/12)*(1+XLOOKUP(AZ$2,Assumptions!$C$94:$M$94,Assumptions!$C$98:$M$98))))</f>
        <v>-3134.114849</v>
      </c>
      <c r="BA34" s="54">
        <f t="array" ref="BA34">-(IF(BA$2=1,Assumptions!$H35/12,-(SUMIF($D$2:$EE$2,BA$2-1,$D34:$EE34)/12)*(1+XLOOKUP(BA$2,Assumptions!$C$94:$M$94,Assumptions!$C$98:$M$98))))</f>
        <v>-3134.114849</v>
      </c>
      <c r="BB34" s="54">
        <f t="array" ref="BB34">-(IF(BB$2=1,Assumptions!$H35/12,-(SUMIF($D$2:$EE$2,BB$2-1,$D34:$EE34)/12)*(1+XLOOKUP(BB$2,Assumptions!$C$94:$M$94,Assumptions!$C$98:$M$98))))</f>
        <v>-3134.114849</v>
      </c>
      <c r="BC34" s="54">
        <f t="array" ref="BC34">-(IF(BC$2=1,Assumptions!$H35/12,-(SUMIF($D$2:$EE$2,BC$2-1,$D34:$EE34)/12)*(1+XLOOKUP(BC$2,Assumptions!$C$94:$M$94,Assumptions!$C$98:$M$98))))</f>
        <v>-3134.114849</v>
      </c>
      <c r="BD34" s="54">
        <f t="array" ref="BD34">-(IF(BD$2=1,Assumptions!$H35/12,-(SUMIF($D$2:$EE$2,BD$2-1,$D34:$EE34)/12)*(1+XLOOKUP(BD$2,Assumptions!$C$94:$M$94,Assumptions!$C$98:$M$98))))</f>
        <v>-3134.114849</v>
      </c>
      <c r="BE34" s="54">
        <f t="array" ref="BE34">-(IF(BE$2=1,Assumptions!$H35/12,-(SUMIF($D$2:$EE$2,BE$2-1,$D34:$EE34)/12)*(1+XLOOKUP(BE$2,Assumptions!$C$94:$M$94,Assumptions!$C$98:$M$98))))</f>
        <v>-3134.114849</v>
      </c>
      <c r="BF34" s="54">
        <f t="array" ref="BF34">-(IF(BF$2=1,Assumptions!$H35/12,-(SUMIF($D$2:$EE$2,BF$2-1,$D34:$EE34)/12)*(1+XLOOKUP(BF$2,Assumptions!$C$94:$M$94,Assumptions!$C$98:$M$98))))</f>
        <v>-3134.114849</v>
      </c>
      <c r="BG34" s="54">
        <f t="array" ref="BG34">-(IF(BG$2=1,Assumptions!$H35/12,-(SUMIF($D$2:$EE$2,BG$2-1,$D34:$EE34)/12)*(1+XLOOKUP(BG$2,Assumptions!$C$94:$M$94,Assumptions!$C$98:$M$98))))</f>
        <v>-3134.114849</v>
      </c>
      <c r="BH34" s="54">
        <f t="array" ref="BH34">-(IF(BH$2=1,Assumptions!$H35/12,-(SUMIF($D$2:$EE$2,BH$2-1,$D34:$EE34)/12)*(1+XLOOKUP(BH$2,Assumptions!$C$94:$M$94,Assumptions!$C$98:$M$98))))</f>
        <v>-3134.114849</v>
      </c>
      <c r="BI34" s="54">
        <f t="array" ref="BI34">-(IF(BI$2=1,Assumptions!$H35/12,-(SUMIF($D$2:$EE$2,BI$2-1,$D34:$EE34)/12)*(1+XLOOKUP(BI$2,Assumptions!$C$94:$M$94,Assumptions!$C$98:$M$98))))</f>
        <v>-3134.114849</v>
      </c>
      <c r="BJ34" s="54">
        <f t="array" ref="BJ34">-(IF(BJ$2=1,Assumptions!$H35/12,-(SUMIF($D$2:$EE$2,BJ$2-1,$D34:$EE34)/12)*(1+XLOOKUP(BJ$2,Assumptions!$C$94:$M$94,Assumptions!$C$98:$M$98))))</f>
        <v>-3134.114849</v>
      </c>
      <c r="BK34" s="54">
        <f t="array" ref="BK34">-(IF(BK$2=1,Assumptions!$H35/12,-(SUMIF($D$2:$EE$2,BK$2-1,$D34:$EE34)/12)*(1+XLOOKUP(BK$2,Assumptions!$C$94:$M$94,Assumptions!$C$98:$M$98))))</f>
        <v>-3134.114849</v>
      </c>
      <c r="BL34" s="54">
        <f t="array" ref="BL34">-(IF(BL$2=1,Assumptions!$H35/12,-(SUMIF($D$2:$EE$2,BL$2-1,$D34:$EE34)/12)*(1+XLOOKUP(BL$2,Assumptions!$C$94:$M$94,Assumptions!$C$98:$M$98))))</f>
        <v>-3228.138294</v>
      </c>
      <c r="BM34" s="54">
        <f t="array" ref="BM34">-(IF(BM$2=1,Assumptions!$H35/12,-(SUMIF($D$2:$EE$2,BM$2-1,$D34:$EE34)/12)*(1+XLOOKUP(BM$2,Assumptions!$C$94:$M$94,Assumptions!$C$98:$M$98))))</f>
        <v>-3228.138294</v>
      </c>
      <c r="BN34" s="54">
        <f t="array" ref="BN34">-(IF(BN$2=1,Assumptions!$H35/12,-(SUMIF($D$2:$EE$2,BN$2-1,$D34:$EE34)/12)*(1+XLOOKUP(BN$2,Assumptions!$C$94:$M$94,Assumptions!$C$98:$M$98))))</f>
        <v>-3228.138294</v>
      </c>
      <c r="BO34" s="54">
        <f t="array" ref="BO34">-(IF(BO$2=1,Assumptions!$H35/12,-(SUMIF($D$2:$EE$2,BO$2-1,$D34:$EE34)/12)*(1+XLOOKUP(BO$2,Assumptions!$C$94:$M$94,Assumptions!$C$98:$M$98))))</f>
        <v>-3228.138294</v>
      </c>
      <c r="BP34" s="54">
        <f t="array" ref="BP34">-(IF(BP$2=1,Assumptions!$H35/12,-(SUMIF($D$2:$EE$2,BP$2-1,$D34:$EE34)/12)*(1+XLOOKUP(BP$2,Assumptions!$C$94:$M$94,Assumptions!$C$98:$M$98))))</f>
        <v>-3228.138294</v>
      </c>
      <c r="BQ34" s="54">
        <f t="array" ref="BQ34">-(IF(BQ$2=1,Assumptions!$H35/12,-(SUMIF($D$2:$EE$2,BQ$2-1,$D34:$EE34)/12)*(1+XLOOKUP(BQ$2,Assumptions!$C$94:$M$94,Assumptions!$C$98:$M$98))))</f>
        <v>-3228.138294</v>
      </c>
      <c r="BR34" s="54">
        <f t="array" ref="BR34">-(IF(BR$2=1,Assumptions!$H35/12,-(SUMIF($D$2:$EE$2,BR$2-1,$D34:$EE34)/12)*(1+XLOOKUP(BR$2,Assumptions!$C$94:$M$94,Assumptions!$C$98:$M$98))))</f>
        <v>-3228.138294</v>
      </c>
      <c r="BS34" s="54">
        <f t="array" ref="BS34">-(IF(BS$2=1,Assumptions!$H35/12,-(SUMIF($D$2:$EE$2,BS$2-1,$D34:$EE34)/12)*(1+XLOOKUP(BS$2,Assumptions!$C$94:$M$94,Assumptions!$C$98:$M$98))))</f>
        <v>-3228.138294</v>
      </c>
      <c r="BT34" s="54">
        <f t="array" ref="BT34">-(IF(BT$2=1,Assumptions!$H35/12,-(SUMIF($D$2:$EE$2,BT$2-1,$D34:$EE34)/12)*(1+XLOOKUP(BT$2,Assumptions!$C$94:$M$94,Assumptions!$C$98:$M$98))))</f>
        <v>-3228.138294</v>
      </c>
      <c r="BU34" s="54">
        <f t="array" ref="BU34">-(IF(BU$2=1,Assumptions!$H35/12,-(SUMIF($D$2:$EE$2,BU$2-1,$D34:$EE34)/12)*(1+XLOOKUP(BU$2,Assumptions!$C$94:$M$94,Assumptions!$C$98:$M$98))))</f>
        <v>-3228.138294</v>
      </c>
      <c r="BV34" s="54">
        <f t="array" ref="BV34">-(IF(BV$2=1,Assumptions!$H35/12,-(SUMIF($D$2:$EE$2,BV$2-1,$D34:$EE34)/12)*(1+XLOOKUP(BV$2,Assumptions!$C$94:$M$94,Assumptions!$C$98:$M$98))))</f>
        <v>-3228.138294</v>
      </c>
      <c r="BW34" s="54">
        <f t="array" ref="BW34">-(IF(BW$2=1,Assumptions!$H35/12,-(SUMIF($D$2:$EE$2,BW$2-1,$D34:$EE34)/12)*(1+XLOOKUP(BW$2,Assumptions!$C$94:$M$94,Assumptions!$C$98:$M$98))))</f>
        <v>-3228.138294</v>
      </c>
      <c r="BX34" s="54">
        <f t="array" ref="BX34">-(IF(BX$2=1,Assumptions!$H35/12,-(SUMIF($D$2:$EE$2,BX$2-1,$D34:$EE34)/12)*(1+XLOOKUP(BX$2,Assumptions!$C$94:$M$94,Assumptions!$C$98:$M$98))))</f>
        <v>-3324.982443</v>
      </c>
      <c r="BY34" s="54">
        <f t="array" ref="BY34">-(IF(BY$2=1,Assumptions!$H35/12,-(SUMIF($D$2:$EE$2,BY$2-1,$D34:$EE34)/12)*(1+XLOOKUP(BY$2,Assumptions!$C$94:$M$94,Assumptions!$C$98:$M$98))))</f>
        <v>-3324.982443</v>
      </c>
      <c r="BZ34" s="54">
        <f t="array" ref="BZ34">-(IF(BZ$2=1,Assumptions!$H35/12,-(SUMIF($D$2:$EE$2,BZ$2-1,$D34:$EE34)/12)*(1+XLOOKUP(BZ$2,Assumptions!$C$94:$M$94,Assumptions!$C$98:$M$98))))</f>
        <v>-3324.982443</v>
      </c>
      <c r="CA34" s="54">
        <f t="array" ref="CA34">-(IF(CA$2=1,Assumptions!$H35/12,-(SUMIF($D$2:$EE$2,CA$2-1,$D34:$EE34)/12)*(1+XLOOKUP(CA$2,Assumptions!$C$94:$M$94,Assumptions!$C$98:$M$98))))</f>
        <v>-3324.982443</v>
      </c>
      <c r="CB34" s="54">
        <f t="array" ref="CB34">-(IF(CB$2=1,Assumptions!$H35/12,-(SUMIF($D$2:$EE$2,CB$2-1,$D34:$EE34)/12)*(1+XLOOKUP(CB$2,Assumptions!$C$94:$M$94,Assumptions!$C$98:$M$98))))</f>
        <v>-3324.982443</v>
      </c>
      <c r="CC34" s="54">
        <f t="array" ref="CC34">-(IF(CC$2=1,Assumptions!$H35/12,-(SUMIF($D$2:$EE$2,CC$2-1,$D34:$EE34)/12)*(1+XLOOKUP(CC$2,Assumptions!$C$94:$M$94,Assumptions!$C$98:$M$98))))</f>
        <v>-3324.982443</v>
      </c>
      <c r="CD34" s="54">
        <f t="array" ref="CD34">-(IF(CD$2=1,Assumptions!$H35/12,-(SUMIF($D$2:$EE$2,CD$2-1,$D34:$EE34)/12)*(1+XLOOKUP(CD$2,Assumptions!$C$94:$M$94,Assumptions!$C$98:$M$98))))</f>
        <v>-3324.982443</v>
      </c>
      <c r="CE34" s="54">
        <f t="array" ref="CE34">-(IF(CE$2=1,Assumptions!$H35/12,-(SUMIF($D$2:$EE$2,CE$2-1,$D34:$EE34)/12)*(1+XLOOKUP(CE$2,Assumptions!$C$94:$M$94,Assumptions!$C$98:$M$98))))</f>
        <v>-3324.982443</v>
      </c>
      <c r="CF34" s="54">
        <f t="array" ref="CF34">-(IF(CF$2=1,Assumptions!$H35/12,-(SUMIF($D$2:$EE$2,CF$2-1,$D34:$EE34)/12)*(1+XLOOKUP(CF$2,Assumptions!$C$94:$M$94,Assumptions!$C$98:$M$98))))</f>
        <v>-3324.982443</v>
      </c>
      <c r="CG34" s="54">
        <f t="array" ref="CG34">-(IF(CG$2=1,Assumptions!$H35/12,-(SUMIF($D$2:$EE$2,CG$2-1,$D34:$EE34)/12)*(1+XLOOKUP(CG$2,Assumptions!$C$94:$M$94,Assumptions!$C$98:$M$98))))</f>
        <v>-3324.982443</v>
      </c>
      <c r="CH34" s="54">
        <f t="array" ref="CH34">-(IF(CH$2=1,Assumptions!$H35/12,-(SUMIF($D$2:$EE$2,CH$2-1,$D34:$EE34)/12)*(1+XLOOKUP(CH$2,Assumptions!$C$94:$M$94,Assumptions!$C$98:$M$98))))</f>
        <v>-3324.982443</v>
      </c>
      <c r="CI34" s="54">
        <f t="array" ref="CI34">-(IF(CI$2=1,Assumptions!$H35/12,-(SUMIF($D$2:$EE$2,CI$2-1,$D34:$EE34)/12)*(1+XLOOKUP(CI$2,Assumptions!$C$94:$M$94,Assumptions!$C$98:$M$98))))</f>
        <v>-3324.982443</v>
      </c>
      <c r="CJ34" s="54">
        <f t="array" ref="CJ34">-(IF(CJ$2=1,Assumptions!$H35/12,-(SUMIF($D$2:$EE$2,CJ$2-1,$D34:$EE34)/12)*(1+XLOOKUP(CJ$2,Assumptions!$C$94:$M$94,Assumptions!$C$98:$M$98))))</f>
        <v>-3424.731917</v>
      </c>
      <c r="CK34" s="54">
        <f t="array" ref="CK34">-(IF(CK$2=1,Assumptions!$H35/12,-(SUMIF($D$2:$EE$2,CK$2-1,$D34:$EE34)/12)*(1+XLOOKUP(CK$2,Assumptions!$C$94:$M$94,Assumptions!$C$98:$M$98))))</f>
        <v>-3424.731917</v>
      </c>
      <c r="CL34" s="54">
        <f t="array" ref="CL34">-(IF(CL$2=1,Assumptions!$H35/12,-(SUMIF($D$2:$EE$2,CL$2-1,$D34:$EE34)/12)*(1+XLOOKUP(CL$2,Assumptions!$C$94:$M$94,Assumptions!$C$98:$M$98))))</f>
        <v>-3424.731917</v>
      </c>
      <c r="CM34" s="54">
        <f t="array" ref="CM34">-(IF(CM$2=1,Assumptions!$H35/12,-(SUMIF($D$2:$EE$2,CM$2-1,$D34:$EE34)/12)*(1+XLOOKUP(CM$2,Assumptions!$C$94:$M$94,Assumptions!$C$98:$M$98))))</f>
        <v>-3424.731917</v>
      </c>
      <c r="CN34" s="54">
        <f t="array" ref="CN34">-(IF(CN$2=1,Assumptions!$H35/12,-(SUMIF($D$2:$EE$2,CN$2-1,$D34:$EE34)/12)*(1+XLOOKUP(CN$2,Assumptions!$C$94:$M$94,Assumptions!$C$98:$M$98))))</f>
        <v>-3424.731917</v>
      </c>
      <c r="CO34" s="54">
        <f t="array" ref="CO34">-(IF(CO$2=1,Assumptions!$H35/12,-(SUMIF($D$2:$EE$2,CO$2-1,$D34:$EE34)/12)*(1+XLOOKUP(CO$2,Assumptions!$C$94:$M$94,Assumptions!$C$98:$M$98))))</f>
        <v>-3424.731917</v>
      </c>
      <c r="CP34" s="54">
        <f t="array" ref="CP34">-(IF(CP$2=1,Assumptions!$H35/12,-(SUMIF($D$2:$EE$2,CP$2-1,$D34:$EE34)/12)*(1+XLOOKUP(CP$2,Assumptions!$C$94:$M$94,Assumptions!$C$98:$M$98))))</f>
        <v>-3424.731917</v>
      </c>
      <c r="CQ34" s="54">
        <f t="array" ref="CQ34">-(IF(CQ$2=1,Assumptions!$H35/12,-(SUMIF($D$2:$EE$2,CQ$2-1,$D34:$EE34)/12)*(1+XLOOKUP(CQ$2,Assumptions!$C$94:$M$94,Assumptions!$C$98:$M$98))))</f>
        <v>-3424.731917</v>
      </c>
      <c r="CR34" s="54">
        <f t="array" ref="CR34">-(IF(CR$2=1,Assumptions!$H35/12,-(SUMIF($D$2:$EE$2,CR$2-1,$D34:$EE34)/12)*(1+XLOOKUP(CR$2,Assumptions!$C$94:$M$94,Assumptions!$C$98:$M$98))))</f>
        <v>-3424.731917</v>
      </c>
      <c r="CS34" s="54">
        <f t="array" ref="CS34">-(IF(CS$2=1,Assumptions!$H35/12,-(SUMIF($D$2:$EE$2,CS$2-1,$D34:$EE34)/12)*(1+XLOOKUP(CS$2,Assumptions!$C$94:$M$94,Assumptions!$C$98:$M$98))))</f>
        <v>-3424.731917</v>
      </c>
      <c r="CT34" s="54">
        <f t="array" ref="CT34">-(IF(CT$2=1,Assumptions!$H35/12,-(SUMIF($D$2:$EE$2,CT$2-1,$D34:$EE34)/12)*(1+XLOOKUP(CT$2,Assumptions!$C$94:$M$94,Assumptions!$C$98:$M$98))))</f>
        <v>-3424.731917</v>
      </c>
      <c r="CU34" s="54">
        <f t="array" ref="CU34">-(IF(CU$2=1,Assumptions!$H35/12,-(SUMIF($D$2:$EE$2,CU$2-1,$D34:$EE34)/12)*(1+XLOOKUP(CU$2,Assumptions!$C$94:$M$94,Assumptions!$C$98:$M$98))))</f>
        <v>-3424.731917</v>
      </c>
      <c r="CV34" s="54">
        <f t="array" ref="CV34">-(IF(CV$2=1,Assumptions!$H35/12,-(SUMIF($D$2:$EE$2,CV$2-1,$D34:$EE34)/12)*(1+XLOOKUP(CV$2,Assumptions!$C$94:$M$94,Assumptions!$C$98:$M$98))))</f>
        <v>-3527.473874</v>
      </c>
      <c r="CW34" s="54">
        <f t="array" ref="CW34">-(IF(CW$2=1,Assumptions!$H35/12,-(SUMIF($D$2:$EE$2,CW$2-1,$D34:$EE34)/12)*(1+XLOOKUP(CW$2,Assumptions!$C$94:$M$94,Assumptions!$C$98:$M$98))))</f>
        <v>-3527.473874</v>
      </c>
      <c r="CX34" s="54">
        <f t="array" ref="CX34">-(IF(CX$2=1,Assumptions!$H35/12,-(SUMIF($D$2:$EE$2,CX$2-1,$D34:$EE34)/12)*(1+XLOOKUP(CX$2,Assumptions!$C$94:$M$94,Assumptions!$C$98:$M$98))))</f>
        <v>-3527.473874</v>
      </c>
      <c r="CY34" s="54">
        <f t="array" ref="CY34">-(IF(CY$2=1,Assumptions!$H35/12,-(SUMIF($D$2:$EE$2,CY$2-1,$D34:$EE34)/12)*(1+XLOOKUP(CY$2,Assumptions!$C$94:$M$94,Assumptions!$C$98:$M$98))))</f>
        <v>-3527.473874</v>
      </c>
      <c r="CZ34" s="54">
        <f t="array" ref="CZ34">-(IF(CZ$2=1,Assumptions!$H35/12,-(SUMIF($D$2:$EE$2,CZ$2-1,$D34:$EE34)/12)*(1+XLOOKUP(CZ$2,Assumptions!$C$94:$M$94,Assumptions!$C$98:$M$98))))</f>
        <v>-3527.473874</v>
      </c>
      <c r="DA34" s="54">
        <f t="array" ref="DA34">-(IF(DA$2=1,Assumptions!$H35/12,-(SUMIF($D$2:$EE$2,DA$2-1,$D34:$EE34)/12)*(1+XLOOKUP(DA$2,Assumptions!$C$94:$M$94,Assumptions!$C$98:$M$98))))</f>
        <v>-3527.473874</v>
      </c>
      <c r="DB34" s="54">
        <f t="array" ref="DB34">-(IF(DB$2=1,Assumptions!$H35/12,-(SUMIF($D$2:$EE$2,DB$2-1,$D34:$EE34)/12)*(1+XLOOKUP(DB$2,Assumptions!$C$94:$M$94,Assumptions!$C$98:$M$98))))</f>
        <v>-3527.473874</v>
      </c>
      <c r="DC34" s="54">
        <f t="array" ref="DC34">-(IF(DC$2=1,Assumptions!$H35/12,-(SUMIF($D$2:$EE$2,DC$2-1,$D34:$EE34)/12)*(1+XLOOKUP(DC$2,Assumptions!$C$94:$M$94,Assumptions!$C$98:$M$98))))</f>
        <v>-3527.473874</v>
      </c>
      <c r="DD34" s="54">
        <f t="array" ref="DD34">-(IF(DD$2=1,Assumptions!$H35/12,-(SUMIF($D$2:$EE$2,DD$2-1,$D34:$EE34)/12)*(1+XLOOKUP(DD$2,Assumptions!$C$94:$M$94,Assumptions!$C$98:$M$98))))</f>
        <v>-3527.473874</v>
      </c>
      <c r="DE34" s="54">
        <f t="array" ref="DE34">-(IF(DE$2=1,Assumptions!$H35/12,-(SUMIF($D$2:$EE$2,DE$2-1,$D34:$EE34)/12)*(1+XLOOKUP(DE$2,Assumptions!$C$94:$M$94,Assumptions!$C$98:$M$98))))</f>
        <v>-3527.473874</v>
      </c>
      <c r="DF34" s="54">
        <f t="array" ref="DF34">-(IF(DF$2=1,Assumptions!$H35/12,-(SUMIF($D$2:$EE$2,DF$2-1,$D34:$EE34)/12)*(1+XLOOKUP(DF$2,Assumptions!$C$94:$M$94,Assumptions!$C$98:$M$98))))</f>
        <v>-3527.473874</v>
      </c>
      <c r="DG34" s="54">
        <f t="array" ref="DG34">-(IF(DG$2=1,Assumptions!$H35/12,-(SUMIF($D$2:$EE$2,DG$2-1,$D34:$EE34)/12)*(1+XLOOKUP(DG$2,Assumptions!$C$94:$M$94,Assumptions!$C$98:$M$98))))</f>
        <v>-3527.473874</v>
      </c>
      <c r="DH34" s="54">
        <f t="array" ref="DH34">-(IF(DH$2=1,Assumptions!$H35/12,-(SUMIF($D$2:$EE$2,DH$2-1,$D34:$EE34)/12)*(1+XLOOKUP(DH$2,Assumptions!$C$94:$M$94,Assumptions!$C$98:$M$98))))</f>
        <v>-3633.29809</v>
      </c>
      <c r="DI34" s="54">
        <f t="array" ref="DI34">-(IF(DI$2=1,Assumptions!$H35/12,-(SUMIF($D$2:$EE$2,DI$2-1,$D34:$EE34)/12)*(1+XLOOKUP(DI$2,Assumptions!$C$94:$M$94,Assumptions!$C$98:$M$98))))</f>
        <v>-3633.29809</v>
      </c>
      <c r="DJ34" s="54">
        <f t="array" ref="DJ34">-(IF(DJ$2=1,Assumptions!$H35/12,-(SUMIF($D$2:$EE$2,DJ$2-1,$D34:$EE34)/12)*(1+XLOOKUP(DJ$2,Assumptions!$C$94:$M$94,Assumptions!$C$98:$M$98))))</f>
        <v>-3633.29809</v>
      </c>
      <c r="DK34" s="54">
        <f t="array" ref="DK34">-(IF(DK$2=1,Assumptions!$H35/12,-(SUMIF($D$2:$EE$2,DK$2-1,$D34:$EE34)/12)*(1+XLOOKUP(DK$2,Assumptions!$C$94:$M$94,Assumptions!$C$98:$M$98))))</f>
        <v>-3633.29809</v>
      </c>
      <c r="DL34" s="54">
        <f t="array" ref="DL34">-(IF(DL$2=1,Assumptions!$H35/12,-(SUMIF($D$2:$EE$2,DL$2-1,$D34:$EE34)/12)*(1+XLOOKUP(DL$2,Assumptions!$C$94:$M$94,Assumptions!$C$98:$M$98))))</f>
        <v>-3633.29809</v>
      </c>
      <c r="DM34" s="54">
        <f t="array" ref="DM34">-(IF(DM$2=1,Assumptions!$H35/12,-(SUMIF($D$2:$EE$2,DM$2-1,$D34:$EE34)/12)*(1+XLOOKUP(DM$2,Assumptions!$C$94:$M$94,Assumptions!$C$98:$M$98))))</f>
        <v>-3633.29809</v>
      </c>
      <c r="DN34" s="54">
        <f t="array" ref="DN34">-(IF(DN$2=1,Assumptions!$H35/12,-(SUMIF($D$2:$EE$2,DN$2-1,$D34:$EE34)/12)*(1+XLOOKUP(DN$2,Assumptions!$C$94:$M$94,Assumptions!$C$98:$M$98))))</f>
        <v>-3633.29809</v>
      </c>
      <c r="DO34" s="54">
        <f t="array" ref="DO34">-(IF(DO$2=1,Assumptions!$H35/12,-(SUMIF($D$2:$EE$2,DO$2-1,$D34:$EE34)/12)*(1+XLOOKUP(DO$2,Assumptions!$C$94:$M$94,Assumptions!$C$98:$M$98))))</f>
        <v>-3633.29809</v>
      </c>
      <c r="DP34" s="54">
        <f t="array" ref="DP34">-(IF(DP$2=1,Assumptions!$H35/12,-(SUMIF($D$2:$EE$2,DP$2-1,$D34:$EE34)/12)*(1+XLOOKUP(DP$2,Assumptions!$C$94:$M$94,Assumptions!$C$98:$M$98))))</f>
        <v>-3633.29809</v>
      </c>
      <c r="DQ34" s="54">
        <f t="array" ref="DQ34">-(IF(DQ$2=1,Assumptions!$H35/12,-(SUMIF($D$2:$EE$2,DQ$2-1,$D34:$EE34)/12)*(1+XLOOKUP(DQ$2,Assumptions!$C$94:$M$94,Assumptions!$C$98:$M$98))))</f>
        <v>-3633.29809</v>
      </c>
      <c r="DR34" s="54">
        <f t="array" ref="DR34">-(IF(DR$2=1,Assumptions!$H35/12,-(SUMIF($D$2:$EE$2,DR$2-1,$D34:$EE34)/12)*(1+XLOOKUP(DR$2,Assumptions!$C$94:$M$94,Assumptions!$C$98:$M$98))))</f>
        <v>-3633.29809</v>
      </c>
      <c r="DS34" s="54">
        <f t="array" ref="DS34">-(IF(DS$2=1,Assumptions!$H35/12,-(SUMIF($D$2:$EE$2,DS$2-1,$D34:$EE34)/12)*(1+XLOOKUP(DS$2,Assumptions!$C$94:$M$94,Assumptions!$C$98:$M$98))))</f>
        <v>-3633.29809</v>
      </c>
      <c r="DT34" s="54">
        <f t="array" ref="DT34">-(IF(DT$2=1,Assumptions!$H35/12,-(SUMIF($D$2:$EE$2,DT$2-1,$D34:$EE34)/12)*(1+XLOOKUP(DT$2,Assumptions!$C$94:$M$94,Assumptions!$C$98:$M$98))))</f>
        <v>-3742.297033</v>
      </c>
      <c r="DU34" s="54">
        <f t="array" ref="DU34">-(IF(DU$2=1,Assumptions!$H35/12,-(SUMIF($D$2:$EE$2,DU$2-1,$D34:$EE34)/12)*(1+XLOOKUP(DU$2,Assumptions!$C$94:$M$94,Assumptions!$C$98:$M$98))))</f>
        <v>-3742.297033</v>
      </c>
      <c r="DV34" s="54">
        <f t="array" ref="DV34">-(IF(DV$2=1,Assumptions!$H35/12,-(SUMIF($D$2:$EE$2,DV$2-1,$D34:$EE34)/12)*(1+XLOOKUP(DV$2,Assumptions!$C$94:$M$94,Assumptions!$C$98:$M$98))))</f>
        <v>-3742.297033</v>
      </c>
      <c r="DW34" s="54">
        <f t="array" ref="DW34">-(IF(DW$2=1,Assumptions!$H35/12,-(SUMIF($D$2:$EE$2,DW$2-1,$D34:$EE34)/12)*(1+XLOOKUP(DW$2,Assumptions!$C$94:$M$94,Assumptions!$C$98:$M$98))))</f>
        <v>-3742.297033</v>
      </c>
      <c r="DX34" s="54">
        <f t="array" ref="DX34">-(IF(DX$2=1,Assumptions!$H35/12,-(SUMIF($D$2:$EE$2,DX$2-1,$D34:$EE34)/12)*(1+XLOOKUP(DX$2,Assumptions!$C$94:$M$94,Assumptions!$C$98:$M$98))))</f>
        <v>-3742.297033</v>
      </c>
      <c r="DY34" s="54">
        <f t="array" ref="DY34">-(IF(DY$2=1,Assumptions!$H35/12,-(SUMIF($D$2:$EE$2,DY$2-1,$D34:$EE34)/12)*(1+XLOOKUP(DY$2,Assumptions!$C$94:$M$94,Assumptions!$C$98:$M$98))))</f>
        <v>-3742.297033</v>
      </c>
      <c r="DZ34" s="54">
        <f t="array" ref="DZ34">-(IF(DZ$2=1,Assumptions!$H35/12,-(SUMIF($D$2:$EE$2,DZ$2-1,$D34:$EE34)/12)*(1+XLOOKUP(DZ$2,Assumptions!$C$94:$M$94,Assumptions!$C$98:$M$98))))</f>
        <v>-3742.297033</v>
      </c>
      <c r="EA34" s="54">
        <f t="array" ref="EA34">-(IF(EA$2=1,Assumptions!$H35/12,-(SUMIF($D$2:$EE$2,EA$2-1,$D34:$EE34)/12)*(1+XLOOKUP(EA$2,Assumptions!$C$94:$M$94,Assumptions!$C$98:$M$98))))</f>
        <v>-3742.297033</v>
      </c>
      <c r="EB34" s="54">
        <f t="array" ref="EB34">-(IF(EB$2=1,Assumptions!$H35/12,-(SUMIF($D$2:$EE$2,EB$2-1,$D34:$EE34)/12)*(1+XLOOKUP(EB$2,Assumptions!$C$94:$M$94,Assumptions!$C$98:$M$98))))</f>
        <v>-3742.297033</v>
      </c>
      <c r="EC34" s="54">
        <f t="array" ref="EC34">-(IF(EC$2=1,Assumptions!$H35/12,-(SUMIF($D$2:$EE$2,EC$2-1,$D34:$EE34)/12)*(1+XLOOKUP(EC$2,Assumptions!$C$94:$M$94,Assumptions!$C$98:$M$98))))</f>
        <v>-3742.297033</v>
      </c>
      <c r="ED34" s="54">
        <f t="array" ref="ED34">-(IF(ED$2=1,Assumptions!$H35/12,-(SUMIF($D$2:$EE$2,ED$2-1,$D34:$EE34)/12)*(1+XLOOKUP(ED$2,Assumptions!$C$94:$M$94,Assumptions!$C$98:$M$98))))</f>
        <v>-3742.297033</v>
      </c>
      <c r="EE34" s="54">
        <f t="array" ref="EE34">-(IF(EE$2=1,Assumptions!$H35/12,-(SUMIF($D$2:$EE$2,EE$2-1,$D34:$EE34)/12)*(1+XLOOKUP(EE$2,Assumptions!$C$94:$M$94,Assumptions!$C$98:$M$98))))</f>
        <v>-3742.297033</v>
      </c>
    </row>
    <row r="35" ht="15.75" customHeight="1">
      <c r="A35" s="1"/>
      <c r="B35" s="1"/>
      <c r="C35" s="1" t="str">
        <f>Assumptions!B36</f>
        <v>HQ Expense</v>
      </c>
      <c r="D35" s="54">
        <f t="array" ref="D35">-(IF(D$2=1,Assumptions!$H36/12,-(SUMIF($D$2:$EE$2,D$2-1,$D35:$EE35)/12)*(1+XLOOKUP(D$2,Assumptions!$C$94:$M$94,Assumptions!$C$98:$M$98))))</f>
        <v>-423.0948167</v>
      </c>
      <c r="E35" s="54">
        <f t="array" ref="E35">-(IF(E$2=1,Assumptions!$H36/12,-(SUMIF($D$2:$EE$2,E$2-1,$D35:$EE35)/12)*(1+XLOOKUP(E$2,Assumptions!$C$94:$M$94,Assumptions!$C$98:$M$98))))</f>
        <v>-423.0948167</v>
      </c>
      <c r="F35" s="54">
        <f t="array" ref="F35">-(IF(F$2=1,Assumptions!$H36/12,-(SUMIF($D$2:$EE$2,F$2-1,$D35:$EE35)/12)*(1+XLOOKUP(F$2,Assumptions!$C$94:$M$94,Assumptions!$C$98:$M$98))))</f>
        <v>-423.0948167</v>
      </c>
      <c r="G35" s="54">
        <f t="array" ref="G35">-(IF(G$2=1,Assumptions!$H36/12,-(SUMIF($D$2:$EE$2,G$2-1,$D35:$EE35)/12)*(1+XLOOKUP(G$2,Assumptions!$C$94:$M$94,Assumptions!$C$98:$M$98))))</f>
        <v>-423.0948167</v>
      </c>
      <c r="H35" s="54">
        <f t="array" ref="H35">-(IF(H$2=1,Assumptions!$H36/12,-(SUMIF($D$2:$EE$2,H$2-1,$D35:$EE35)/12)*(1+XLOOKUP(H$2,Assumptions!$C$94:$M$94,Assumptions!$C$98:$M$98))))</f>
        <v>-423.0948167</v>
      </c>
      <c r="I35" s="54">
        <f t="array" ref="I35">-(IF(I$2=1,Assumptions!$H36/12,-(SUMIF($D$2:$EE$2,I$2-1,$D35:$EE35)/12)*(1+XLOOKUP(I$2,Assumptions!$C$94:$M$94,Assumptions!$C$98:$M$98))))</f>
        <v>-423.0948167</v>
      </c>
      <c r="J35" s="54">
        <f t="array" ref="J35">-(IF(J$2=1,Assumptions!$H36/12,-(SUMIF($D$2:$EE$2,J$2-1,$D35:$EE35)/12)*(1+XLOOKUP(J$2,Assumptions!$C$94:$M$94,Assumptions!$C$98:$M$98))))</f>
        <v>-423.0948167</v>
      </c>
      <c r="K35" s="54">
        <f t="array" ref="K35">-(IF(K$2=1,Assumptions!$H36/12,-(SUMIF($D$2:$EE$2,K$2-1,$D35:$EE35)/12)*(1+XLOOKUP(K$2,Assumptions!$C$94:$M$94,Assumptions!$C$98:$M$98))))</f>
        <v>-423.0948167</v>
      </c>
      <c r="L35" s="54">
        <f t="array" ref="L35">-(IF(L$2=1,Assumptions!$H36/12,-(SUMIF($D$2:$EE$2,L$2-1,$D35:$EE35)/12)*(1+XLOOKUP(L$2,Assumptions!$C$94:$M$94,Assumptions!$C$98:$M$98))))</f>
        <v>-423.0948167</v>
      </c>
      <c r="M35" s="54">
        <f t="array" ref="M35">-(IF(M$2=1,Assumptions!$H36/12,-(SUMIF($D$2:$EE$2,M$2-1,$D35:$EE35)/12)*(1+XLOOKUP(M$2,Assumptions!$C$94:$M$94,Assumptions!$C$98:$M$98))))</f>
        <v>-423.0948167</v>
      </c>
      <c r="N35" s="54">
        <f t="array" ref="N35">-(IF(N$2=1,Assumptions!$H36/12,-(SUMIF($D$2:$EE$2,N$2-1,$D35:$EE35)/12)*(1+XLOOKUP(N$2,Assumptions!$C$94:$M$94,Assumptions!$C$98:$M$98))))</f>
        <v>-423.0948167</v>
      </c>
      <c r="O35" s="54">
        <f t="array" ref="O35">-(IF(O$2=1,Assumptions!$H36/12,-(SUMIF($D$2:$EE$2,O$2-1,$D35:$EE35)/12)*(1+XLOOKUP(O$2,Assumptions!$C$94:$M$94,Assumptions!$C$98:$M$98))))</f>
        <v>-423.0948167</v>
      </c>
      <c r="P35" s="54">
        <f t="array" ref="P35">-(IF(P$2=1,Assumptions!$H36/12,-(SUMIF($D$2:$EE$2,P$2-1,$D35:$EE35)/12)*(1+XLOOKUP(P$2,Assumptions!$C$94:$M$94,Assumptions!$C$98:$M$98))))</f>
        <v>-435.7876612</v>
      </c>
      <c r="Q35" s="54">
        <f t="array" ref="Q35">-(IF(Q$2=1,Assumptions!$H36/12,-(SUMIF($D$2:$EE$2,Q$2-1,$D35:$EE35)/12)*(1+XLOOKUP(Q$2,Assumptions!$C$94:$M$94,Assumptions!$C$98:$M$98))))</f>
        <v>-435.7876612</v>
      </c>
      <c r="R35" s="54">
        <f t="array" ref="R35">-(IF(R$2=1,Assumptions!$H36/12,-(SUMIF($D$2:$EE$2,R$2-1,$D35:$EE35)/12)*(1+XLOOKUP(R$2,Assumptions!$C$94:$M$94,Assumptions!$C$98:$M$98))))</f>
        <v>-435.7876612</v>
      </c>
      <c r="S35" s="54">
        <f t="array" ref="S35">-(IF(S$2=1,Assumptions!$H36/12,-(SUMIF($D$2:$EE$2,S$2-1,$D35:$EE35)/12)*(1+XLOOKUP(S$2,Assumptions!$C$94:$M$94,Assumptions!$C$98:$M$98))))</f>
        <v>-435.7876612</v>
      </c>
      <c r="T35" s="54">
        <f t="array" ref="T35">-(IF(T$2=1,Assumptions!$H36/12,-(SUMIF($D$2:$EE$2,T$2-1,$D35:$EE35)/12)*(1+XLOOKUP(T$2,Assumptions!$C$94:$M$94,Assumptions!$C$98:$M$98))))</f>
        <v>-435.7876612</v>
      </c>
      <c r="U35" s="54">
        <f t="array" ref="U35">-(IF(U$2=1,Assumptions!$H36/12,-(SUMIF($D$2:$EE$2,U$2-1,$D35:$EE35)/12)*(1+XLOOKUP(U$2,Assumptions!$C$94:$M$94,Assumptions!$C$98:$M$98))))</f>
        <v>-435.7876612</v>
      </c>
      <c r="V35" s="54">
        <f t="array" ref="V35">-(IF(V$2=1,Assumptions!$H36/12,-(SUMIF($D$2:$EE$2,V$2-1,$D35:$EE35)/12)*(1+XLOOKUP(V$2,Assumptions!$C$94:$M$94,Assumptions!$C$98:$M$98))))</f>
        <v>-435.7876612</v>
      </c>
      <c r="W35" s="54">
        <f t="array" ref="W35">-(IF(W$2=1,Assumptions!$H36/12,-(SUMIF($D$2:$EE$2,W$2-1,$D35:$EE35)/12)*(1+XLOOKUP(W$2,Assumptions!$C$94:$M$94,Assumptions!$C$98:$M$98))))</f>
        <v>-435.7876612</v>
      </c>
      <c r="X35" s="54">
        <f t="array" ref="X35">-(IF(X$2=1,Assumptions!$H36/12,-(SUMIF($D$2:$EE$2,X$2-1,$D35:$EE35)/12)*(1+XLOOKUP(X$2,Assumptions!$C$94:$M$94,Assumptions!$C$98:$M$98))))</f>
        <v>-435.7876612</v>
      </c>
      <c r="Y35" s="54">
        <f t="array" ref="Y35">-(IF(Y$2=1,Assumptions!$H36/12,-(SUMIF($D$2:$EE$2,Y$2-1,$D35:$EE35)/12)*(1+XLOOKUP(Y$2,Assumptions!$C$94:$M$94,Assumptions!$C$98:$M$98))))</f>
        <v>-435.7876612</v>
      </c>
      <c r="Z35" s="54">
        <f t="array" ref="Z35">-(IF(Z$2=1,Assumptions!$H36/12,-(SUMIF($D$2:$EE$2,Z$2-1,$D35:$EE35)/12)*(1+XLOOKUP(Z$2,Assumptions!$C$94:$M$94,Assumptions!$C$98:$M$98))))</f>
        <v>-435.7876612</v>
      </c>
      <c r="AA35" s="54">
        <f t="array" ref="AA35">-(IF(AA$2=1,Assumptions!$H36/12,-(SUMIF($D$2:$EE$2,AA$2-1,$D35:$EE35)/12)*(1+XLOOKUP(AA$2,Assumptions!$C$94:$M$94,Assumptions!$C$98:$M$98))))</f>
        <v>-435.7876612</v>
      </c>
      <c r="AB35" s="54">
        <f t="array" ref="AB35">-(IF(AB$2=1,Assumptions!$H36/12,-(SUMIF($D$2:$EE$2,AB$2-1,$D35:$EE35)/12)*(1+XLOOKUP(AB$2,Assumptions!$C$94:$M$94,Assumptions!$C$98:$M$98))))</f>
        <v>-448.861291</v>
      </c>
      <c r="AC35" s="54">
        <f t="array" ref="AC35">-(IF(AC$2=1,Assumptions!$H36/12,-(SUMIF($D$2:$EE$2,AC$2-1,$D35:$EE35)/12)*(1+XLOOKUP(AC$2,Assumptions!$C$94:$M$94,Assumptions!$C$98:$M$98))))</f>
        <v>-448.861291</v>
      </c>
      <c r="AD35" s="54">
        <f t="array" ref="AD35">-(IF(AD$2=1,Assumptions!$H36/12,-(SUMIF($D$2:$EE$2,AD$2-1,$D35:$EE35)/12)*(1+XLOOKUP(AD$2,Assumptions!$C$94:$M$94,Assumptions!$C$98:$M$98))))</f>
        <v>-448.861291</v>
      </c>
      <c r="AE35" s="54">
        <f t="array" ref="AE35">-(IF(AE$2=1,Assumptions!$H36/12,-(SUMIF($D$2:$EE$2,AE$2-1,$D35:$EE35)/12)*(1+XLOOKUP(AE$2,Assumptions!$C$94:$M$94,Assumptions!$C$98:$M$98))))</f>
        <v>-448.861291</v>
      </c>
      <c r="AF35" s="54">
        <f t="array" ref="AF35">-(IF(AF$2=1,Assumptions!$H36/12,-(SUMIF($D$2:$EE$2,AF$2-1,$D35:$EE35)/12)*(1+XLOOKUP(AF$2,Assumptions!$C$94:$M$94,Assumptions!$C$98:$M$98))))</f>
        <v>-448.861291</v>
      </c>
      <c r="AG35" s="54">
        <f t="array" ref="AG35">-(IF(AG$2=1,Assumptions!$H36/12,-(SUMIF($D$2:$EE$2,AG$2-1,$D35:$EE35)/12)*(1+XLOOKUP(AG$2,Assumptions!$C$94:$M$94,Assumptions!$C$98:$M$98))))</f>
        <v>-448.861291</v>
      </c>
      <c r="AH35" s="54">
        <f t="array" ref="AH35">-(IF(AH$2=1,Assumptions!$H36/12,-(SUMIF($D$2:$EE$2,AH$2-1,$D35:$EE35)/12)*(1+XLOOKUP(AH$2,Assumptions!$C$94:$M$94,Assumptions!$C$98:$M$98))))</f>
        <v>-448.861291</v>
      </c>
      <c r="AI35" s="54">
        <f t="array" ref="AI35">-(IF(AI$2=1,Assumptions!$H36/12,-(SUMIF($D$2:$EE$2,AI$2-1,$D35:$EE35)/12)*(1+XLOOKUP(AI$2,Assumptions!$C$94:$M$94,Assumptions!$C$98:$M$98))))</f>
        <v>-448.861291</v>
      </c>
      <c r="AJ35" s="54">
        <f t="array" ref="AJ35">-(IF(AJ$2=1,Assumptions!$H36/12,-(SUMIF($D$2:$EE$2,AJ$2-1,$D35:$EE35)/12)*(1+XLOOKUP(AJ$2,Assumptions!$C$94:$M$94,Assumptions!$C$98:$M$98))))</f>
        <v>-448.861291</v>
      </c>
      <c r="AK35" s="54">
        <f t="array" ref="AK35">-(IF(AK$2=1,Assumptions!$H36/12,-(SUMIF($D$2:$EE$2,AK$2-1,$D35:$EE35)/12)*(1+XLOOKUP(AK$2,Assumptions!$C$94:$M$94,Assumptions!$C$98:$M$98))))</f>
        <v>-448.861291</v>
      </c>
      <c r="AL35" s="54">
        <f t="array" ref="AL35">-(IF(AL$2=1,Assumptions!$H36/12,-(SUMIF($D$2:$EE$2,AL$2-1,$D35:$EE35)/12)*(1+XLOOKUP(AL$2,Assumptions!$C$94:$M$94,Assumptions!$C$98:$M$98))))</f>
        <v>-448.861291</v>
      </c>
      <c r="AM35" s="54">
        <f t="array" ref="AM35">-(IF(AM$2=1,Assumptions!$H36/12,-(SUMIF($D$2:$EE$2,AM$2-1,$D35:$EE35)/12)*(1+XLOOKUP(AM$2,Assumptions!$C$94:$M$94,Assumptions!$C$98:$M$98))))</f>
        <v>-448.861291</v>
      </c>
      <c r="AN35" s="54">
        <f t="array" ref="AN35">-(IF(AN$2=1,Assumptions!$H36/12,-(SUMIF($D$2:$EE$2,AN$2-1,$D35:$EE35)/12)*(1+XLOOKUP(AN$2,Assumptions!$C$94:$M$94,Assumptions!$C$98:$M$98))))</f>
        <v>-462.3271297</v>
      </c>
      <c r="AO35" s="54">
        <f t="array" ref="AO35">-(IF(AO$2=1,Assumptions!$H36/12,-(SUMIF($D$2:$EE$2,AO$2-1,$D35:$EE35)/12)*(1+XLOOKUP(AO$2,Assumptions!$C$94:$M$94,Assumptions!$C$98:$M$98))))</f>
        <v>-462.3271297</v>
      </c>
      <c r="AP35" s="54">
        <f t="array" ref="AP35">-(IF(AP$2=1,Assumptions!$H36/12,-(SUMIF($D$2:$EE$2,AP$2-1,$D35:$EE35)/12)*(1+XLOOKUP(AP$2,Assumptions!$C$94:$M$94,Assumptions!$C$98:$M$98))))</f>
        <v>-462.3271297</v>
      </c>
      <c r="AQ35" s="54">
        <f t="array" ref="AQ35">-(IF(AQ$2=1,Assumptions!$H36/12,-(SUMIF($D$2:$EE$2,AQ$2-1,$D35:$EE35)/12)*(1+XLOOKUP(AQ$2,Assumptions!$C$94:$M$94,Assumptions!$C$98:$M$98))))</f>
        <v>-462.3271297</v>
      </c>
      <c r="AR35" s="54">
        <f t="array" ref="AR35">-(IF(AR$2=1,Assumptions!$H36/12,-(SUMIF($D$2:$EE$2,AR$2-1,$D35:$EE35)/12)*(1+XLOOKUP(AR$2,Assumptions!$C$94:$M$94,Assumptions!$C$98:$M$98))))</f>
        <v>-462.3271297</v>
      </c>
      <c r="AS35" s="54">
        <f t="array" ref="AS35">-(IF(AS$2=1,Assumptions!$H36/12,-(SUMIF($D$2:$EE$2,AS$2-1,$D35:$EE35)/12)*(1+XLOOKUP(AS$2,Assumptions!$C$94:$M$94,Assumptions!$C$98:$M$98))))</f>
        <v>-462.3271297</v>
      </c>
      <c r="AT35" s="54">
        <f t="array" ref="AT35">-(IF(AT$2=1,Assumptions!$H36/12,-(SUMIF($D$2:$EE$2,AT$2-1,$D35:$EE35)/12)*(1+XLOOKUP(AT$2,Assumptions!$C$94:$M$94,Assumptions!$C$98:$M$98))))</f>
        <v>-462.3271297</v>
      </c>
      <c r="AU35" s="54">
        <f t="array" ref="AU35">-(IF(AU$2=1,Assumptions!$H36/12,-(SUMIF($D$2:$EE$2,AU$2-1,$D35:$EE35)/12)*(1+XLOOKUP(AU$2,Assumptions!$C$94:$M$94,Assumptions!$C$98:$M$98))))</f>
        <v>-462.3271297</v>
      </c>
      <c r="AV35" s="54">
        <f t="array" ref="AV35">-(IF(AV$2=1,Assumptions!$H36/12,-(SUMIF($D$2:$EE$2,AV$2-1,$D35:$EE35)/12)*(1+XLOOKUP(AV$2,Assumptions!$C$94:$M$94,Assumptions!$C$98:$M$98))))</f>
        <v>-462.3271297</v>
      </c>
      <c r="AW35" s="54">
        <f t="array" ref="AW35">-(IF(AW$2=1,Assumptions!$H36/12,-(SUMIF($D$2:$EE$2,AW$2-1,$D35:$EE35)/12)*(1+XLOOKUP(AW$2,Assumptions!$C$94:$M$94,Assumptions!$C$98:$M$98))))</f>
        <v>-462.3271297</v>
      </c>
      <c r="AX35" s="54">
        <f t="array" ref="AX35">-(IF(AX$2=1,Assumptions!$H36/12,-(SUMIF($D$2:$EE$2,AX$2-1,$D35:$EE35)/12)*(1+XLOOKUP(AX$2,Assumptions!$C$94:$M$94,Assumptions!$C$98:$M$98))))</f>
        <v>-462.3271297</v>
      </c>
      <c r="AY35" s="54">
        <f t="array" ref="AY35">-(IF(AY$2=1,Assumptions!$H36/12,-(SUMIF($D$2:$EE$2,AY$2-1,$D35:$EE35)/12)*(1+XLOOKUP(AY$2,Assumptions!$C$94:$M$94,Assumptions!$C$98:$M$98))))</f>
        <v>-462.3271297</v>
      </c>
      <c r="AZ35" s="54">
        <f t="array" ref="AZ35">-(IF(AZ$2=1,Assumptions!$H36/12,-(SUMIF($D$2:$EE$2,AZ$2-1,$D35:$EE35)/12)*(1+XLOOKUP(AZ$2,Assumptions!$C$94:$M$94,Assumptions!$C$98:$M$98))))</f>
        <v>-476.1969436</v>
      </c>
      <c r="BA35" s="54">
        <f t="array" ref="BA35">-(IF(BA$2=1,Assumptions!$H36/12,-(SUMIF($D$2:$EE$2,BA$2-1,$D35:$EE35)/12)*(1+XLOOKUP(BA$2,Assumptions!$C$94:$M$94,Assumptions!$C$98:$M$98))))</f>
        <v>-476.1969436</v>
      </c>
      <c r="BB35" s="54">
        <f t="array" ref="BB35">-(IF(BB$2=1,Assumptions!$H36/12,-(SUMIF($D$2:$EE$2,BB$2-1,$D35:$EE35)/12)*(1+XLOOKUP(BB$2,Assumptions!$C$94:$M$94,Assumptions!$C$98:$M$98))))</f>
        <v>-476.1969436</v>
      </c>
      <c r="BC35" s="54">
        <f t="array" ref="BC35">-(IF(BC$2=1,Assumptions!$H36/12,-(SUMIF($D$2:$EE$2,BC$2-1,$D35:$EE35)/12)*(1+XLOOKUP(BC$2,Assumptions!$C$94:$M$94,Assumptions!$C$98:$M$98))))</f>
        <v>-476.1969436</v>
      </c>
      <c r="BD35" s="54">
        <f t="array" ref="BD35">-(IF(BD$2=1,Assumptions!$H36/12,-(SUMIF($D$2:$EE$2,BD$2-1,$D35:$EE35)/12)*(1+XLOOKUP(BD$2,Assumptions!$C$94:$M$94,Assumptions!$C$98:$M$98))))</f>
        <v>-476.1969436</v>
      </c>
      <c r="BE35" s="54">
        <f t="array" ref="BE35">-(IF(BE$2=1,Assumptions!$H36/12,-(SUMIF($D$2:$EE$2,BE$2-1,$D35:$EE35)/12)*(1+XLOOKUP(BE$2,Assumptions!$C$94:$M$94,Assumptions!$C$98:$M$98))))</f>
        <v>-476.1969436</v>
      </c>
      <c r="BF35" s="54">
        <f t="array" ref="BF35">-(IF(BF$2=1,Assumptions!$H36/12,-(SUMIF($D$2:$EE$2,BF$2-1,$D35:$EE35)/12)*(1+XLOOKUP(BF$2,Assumptions!$C$94:$M$94,Assumptions!$C$98:$M$98))))</f>
        <v>-476.1969436</v>
      </c>
      <c r="BG35" s="54">
        <f t="array" ref="BG35">-(IF(BG$2=1,Assumptions!$H36/12,-(SUMIF($D$2:$EE$2,BG$2-1,$D35:$EE35)/12)*(1+XLOOKUP(BG$2,Assumptions!$C$94:$M$94,Assumptions!$C$98:$M$98))))</f>
        <v>-476.1969436</v>
      </c>
      <c r="BH35" s="54">
        <f t="array" ref="BH35">-(IF(BH$2=1,Assumptions!$H36/12,-(SUMIF($D$2:$EE$2,BH$2-1,$D35:$EE35)/12)*(1+XLOOKUP(BH$2,Assumptions!$C$94:$M$94,Assumptions!$C$98:$M$98))))</f>
        <v>-476.1969436</v>
      </c>
      <c r="BI35" s="54">
        <f t="array" ref="BI35">-(IF(BI$2=1,Assumptions!$H36/12,-(SUMIF($D$2:$EE$2,BI$2-1,$D35:$EE35)/12)*(1+XLOOKUP(BI$2,Assumptions!$C$94:$M$94,Assumptions!$C$98:$M$98))))</f>
        <v>-476.1969436</v>
      </c>
      <c r="BJ35" s="54">
        <f t="array" ref="BJ35">-(IF(BJ$2=1,Assumptions!$H36/12,-(SUMIF($D$2:$EE$2,BJ$2-1,$D35:$EE35)/12)*(1+XLOOKUP(BJ$2,Assumptions!$C$94:$M$94,Assumptions!$C$98:$M$98))))</f>
        <v>-476.1969436</v>
      </c>
      <c r="BK35" s="54">
        <f t="array" ref="BK35">-(IF(BK$2=1,Assumptions!$H36/12,-(SUMIF($D$2:$EE$2,BK$2-1,$D35:$EE35)/12)*(1+XLOOKUP(BK$2,Assumptions!$C$94:$M$94,Assumptions!$C$98:$M$98))))</f>
        <v>-476.1969436</v>
      </c>
      <c r="BL35" s="54">
        <f t="array" ref="BL35">-(IF(BL$2=1,Assumptions!$H36/12,-(SUMIF($D$2:$EE$2,BL$2-1,$D35:$EE35)/12)*(1+XLOOKUP(BL$2,Assumptions!$C$94:$M$94,Assumptions!$C$98:$M$98))))</f>
        <v>-490.4828519</v>
      </c>
      <c r="BM35" s="54">
        <f t="array" ref="BM35">-(IF(BM$2=1,Assumptions!$H36/12,-(SUMIF($D$2:$EE$2,BM$2-1,$D35:$EE35)/12)*(1+XLOOKUP(BM$2,Assumptions!$C$94:$M$94,Assumptions!$C$98:$M$98))))</f>
        <v>-490.4828519</v>
      </c>
      <c r="BN35" s="54">
        <f t="array" ref="BN35">-(IF(BN$2=1,Assumptions!$H36/12,-(SUMIF($D$2:$EE$2,BN$2-1,$D35:$EE35)/12)*(1+XLOOKUP(BN$2,Assumptions!$C$94:$M$94,Assumptions!$C$98:$M$98))))</f>
        <v>-490.4828519</v>
      </c>
      <c r="BO35" s="54">
        <f t="array" ref="BO35">-(IF(BO$2=1,Assumptions!$H36/12,-(SUMIF($D$2:$EE$2,BO$2-1,$D35:$EE35)/12)*(1+XLOOKUP(BO$2,Assumptions!$C$94:$M$94,Assumptions!$C$98:$M$98))))</f>
        <v>-490.4828519</v>
      </c>
      <c r="BP35" s="54">
        <f t="array" ref="BP35">-(IF(BP$2=1,Assumptions!$H36/12,-(SUMIF($D$2:$EE$2,BP$2-1,$D35:$EE35)/12)*(1+XLOOKUP(BP$2,Assumptions!$C$94:$M$94,Assumptions!$C$98:$M$98))))</f>
        <v>-490.4828519</v>
      </c>
      <c r="BQ35" s="54">
        <f t="array" ref="BQ35">-(IF(BQ$2=1,Assumptions!$H36/12,-(SUMIF($D$2:$EE$2,BQ$2-1,$D35:$EE35)/12)*(1+XLOOKUP(BQ$2,Assumptions!$C$94:$M$94,Assumptions!$C$98:$M$98))))</f>
        <v>-490.4828519</v>
      </c>
      <c r="BR35" s="54">
        <f t="array" ref="BR35">-(IF(BR$2=1,Assumptions!$H36/12,-(SUMIF($D$2:$EE$2,BR$2-1,$D35:$EE35)/12)*(1+XLOOKUP(BR$2,Assumptions!$C$94:$M$94,Assumptions!$C$98:$M$98))))</f>
        <v>-490.4828519</v>
      </c>
      <c r="BS35" s="54">
        <f t="array" ref="BS35">-(IF(BS$2=1,Assumptions!$H36/12,-(SUMIF($D$2:$EE$2,BS$2-1,$D35:$EE35)/12)*(1+XLOOKUP(BS$2,Assumptions!$C$94:$M$94,Assumptions!$C$98:$M$98))))</f>
        <v>-490.4828519</v>
      </c>
      <c r="BT35" s="54">
        <f t="array" ref="BT35">-(IF(BT$2=1,Assumptions!$H36/12,-(SUMIF($D$2:$EE$2,BT$2-1,$D35:$EE35)/12)*(1+XLOOKUP(BT$2,Assumptions!$C$94:$M$94,Assumptions!$C$98:$M$98))))</f>
        <v>-490.4828519</v>
      </c>
      <c r="BU35" s="54">
        <f t="array" ref="BU35">-(IF(BU$2=1,Assumptions!$H36/12,-(SUMIF($D$2:$EE$2,BU$2-1,$D35:$EE35)/12)*(1+XLOOKUP(BU$2,Assumptions!$C$94:$M$94,Assumptions!$C$98:$M$98))))</f>
        <v>-490.4828519</v>
      </c>
      <c r="BV35" s="54">
        <f t="array" ref="BV35">-(IF(BV$2=1,Assumptions!$H36/12,-(SUMIF($D$2:$EE$2,BV$2-1,$D35:$EE35)/12)*(1+XLOOKUP(BV$2,Assumptions!$C$94:$M$94,Assumptions!$C$98:$M$98))))</f>
        <v>-490.4828519</v>
      </c>
      <c r="BW35" s="54">
        <f t="array" ref="BW35">-(IF(BW$2=1,Assumptions!$H36/12,-(SUMIF($D$2:$EE$2,BW$2-1,$D35:$EE35)/12)*(1+XLOOKUP(BW$2,Assumptions!$C$94:$M$94,Assumptions!$C$98:$M$98))))</f>
        <v>-490.4828519</v>
      </c>
      <c r="BX35" s="54">
        <f t="array" ref="BX35">-(IF(BX$2=1,Assumptions!$H36/12,-(SUMIF($D$2:$EE$2,BX$2-1,$D35:$EE35)/12)*(1+XLOOKUP(BX$2,Assumptions!$C$94:$M$94,Assumptions!$C$98:$M$98))))</f>
        <v>-505.1973375</v>
      </c>
      <c r="BY35" s="54">
        <f t="array" ref="BY35">-(IF(BY$2=1,Assumptions!$H36/12,-(SUMIF($D$2:$EE$2,BY$2-1,$D35:$EE35)/12)*(1+XLOOKUP(BY$2,Assumptions!$C$94:$M$94,Assumptions!$C$98:$M$98))))</f>
        <v>-505.1973375</v>
      </c>
      <c r="BZ35" s="54">
        <f t="array" ref="BZ35">-(IF(BZ$2=1,Assumptions!$H36/12,-(SUMIF($D$2:$EE$2,BZ$2-1,$D35:$EE35)/12)*(1+XLOOKUP(BZ$2,Assumptions!$C$94:$M$94,Assumptions!$C$98:$M$98))))</f>
        <v>-505.1973375</v>
      </c>
      <c r="CA35" s="54">
        <f t="array" ref="CA35">-(IF(CA$2=1,Assumptions!$H36/12,-(SUMIF($D$2:$EE$2,CA$2-1,$D35:$EE35)/12)*(1+XLOOKUP(CA$2,Assumptions!$C$94:$M$94,Assumptions!$C$98:$M$98))))</f>
        <v>-505.1973375</v>
      </c>
      <c r="CB35" s="54">
        <f t="array" ref="CB35">-(IF(CB$2=1,Assumptions!$H36/12,-(SUMIF($D$2:$EE$2,CB$2-1,$D35:$EE35)/12)*(1+XLOOKUP(CB$2,Assumptions!$C$94:$M$94,Assumptions!$C$98:$M$98))))</f>
        <v>-505.1973375</v>
      </c>
      <c r="CC35" s="54">
        <f t="array" ref="CC35">-(IF(CC$2=1,Assumptions!$H36/12,-(SUMIF($D$2:$EE$2,CC$2-1,$D35:$EE35)/12)*(1+XLOOKUP(CC$2,Assumptions!$C$94:$M$94,Assumptions!$C$98:$M$98))))</f>
        <v>-505.1973375</v>
      </c>
      <c r="CD35" s="54">
        <f t="array" ref="CD35">-(IF(CD$2=1,Assumptions!$H36/12,-(SUMIF($D$2:$EE$2,CD$2-1,$D35:$EE35)/12)*(1+XLOOKUP(CD$2,Assumptions!$C$94:$M$94,Assumptions!$C$98:$M$98))))</f>
        <v>-505.1973375</v>
      </c>
      <c r="CE35" s="54">
        <f t="array" ref="CE35">-(IF(CE$2=1,Assumptions!$H36/12,-(SUMIF($D$2:$EE$2,CE$2-1,$D35:$EE35)/12)*(1+XLOOKUP(CE$2,Assumptions!$C$94:$M$94,Assumptions!$C$98:$M$98))))</f>
        <v>-505.1973375</v>
      </c>
      <c r="CF35" s="54">
        <f t="array" ref="CF35">-(IF(CF$2=1,Assumptions!$H36/12,-(SUMIF($D$2:$EE$2,CF$2-1,$D35:$EE35)/12)*(1+XLOOKUP(CF$2,Assumptions!$C$94:$M$94,Assumptions!$C$98:$M$98))))</f>
        <v>-505.1973375</v>
      </c>
      <c r="CG35" s="54">
        <f t="array" ref="CG35">-(IF(CG$2=1,Assumptions!$H36/12,-(SUMIF($D$2:$EE$2,CG$2-1,$D35:$EE35)/12)*(1+XLOOKUP(CG$2,Assumptions!$C$94:$M$94,Assumptions!$C$98:$M$98))))</f>
        <v>-505.1973375</v>
      </c>
      <c r="CH35" s="54">
        <f t="array" ref="CH35">-(IF(CH$2=1,Assumptions!$H36/12,-(SUMIF($D$2:$EE$2,CH$2-1,$D35:$EE35)/12)*(1+XLOOKUP(CH$2,Assumptions!$C$94:$M$94,Assumptions!$C$98:$M$98))))</f>
        <v>-505.1973375</v>
      </c>
      <c r="CI35" s="54">
        <f t="array" ref="CI35">-(IF(CI$2=1,Assumptions!$H36/12,-(SUMIF($D$2:$EE$2,CI$2-1,$D35:$EE35)/12)*(1+XLOOKUP(CI$2,Assumptions!$C$94:$M$94,Assumptions!$C$98:$M$98))))</f>
        <v>-505.1973375</v>
      </c>
      <c r="CJ35" s="54">
        <f t="array" ref="CJ35">-(IF(CJ$2=1,Assumptions!$H36/12,-(SUMIF($D$2:$EE$2,CJ$2-1,$D35:$EE35)/12)*(1+XLOOKUP(CJ$2,Assumptions!$C$94:$M$94,Assumptions!$C$98:$M$98))))</f>
        <v>-520.3532576</v>
      </c>
      <c r="CK35" s="54">
        <f t="array" ref="CK35">-(IF(CK$2=1,Assumptions!$H36/12,-(SUMIF($D$2:$EE$2,CK$2-1,$D35:$EE35)/12)*(1+XLOOKUP(CK$2,Assumptions!$C$94:$M$94,Assumptions!$C$98:$M$98))))</f>
        <v>-520.3532576</v>
      </c>
      <c r="CL35" s="54">
        <f t="array" ref="CL35">-(IF(CL$2=1,Assumptions!$H36/12,-(SUMIF($D$2:$EE$2,CL$2-1,$D35:$EE35)/12)*(1+XLOOKUP(CL$2,Assumptions!$C$94:$M$94,Assumptions!$C$98:$M$98))))</f>
        <v>-520.3532576</v>
      </c>
      <c r="CM35" s="54">
        <f t="array" ref="CM35">-(IF(CM$2=1,Assumptions!$H36/12,-(SUMIF($D$2:$EE$2,CM$2-1,$D35:$EE35)/12)*(1+XLOOKUP(CM$2,Assumptions!$C$94:$M$94,Assumptions!$C$98:$M$98))))</f>
        <v>-520.3532576</v>
      </c>
      <c r="CN35" s="54">
        <f t="array" ref="CN35">-(IF(CN$2=1,Assumptions!$H36/12,-(SUMIF($D$2:$EE$2,CN$2-1,$D35:$EE35)/12)*(1+XLOOKUP(CN$2,Assumptions!$C$94:$M$94,Assumptions!$C$98:$M$98))))</f>
        <v>-520.3532576</v>
      </c>
      <c r="CO35" s="54">
        <f t="array" ref="CO35">-(IF(CO$2=1,Assumptions!$H36/12,-(SUMIF($D$2:$EE$2,CO$2-1,$D35:$EE35)/12)*(1+XLOOKUP(CO$2,Assumptions!$C$94:$M$94,Assumptions!$C$98:$M$98))))</f>
        <v>-520.3532576</v>
      </c>
      <c r="CP35" s="54">
        <f t="array" ref="CP35">-(IF(CP$2=1,Assumptions!$H36/12,-(SUMIF($D$2:$EE$2,CP$2-1,$D35:$EE35)/12)*(1+XLOOKUP(CP$2,Assumptions!$C$94:$M$94,Assumptions!$C$98:$M$98))))</f>
        <v>-520.3532576</v>
      </c>
      <c r="CQ35" s="54">
        <f t="array" ref="CQ35">-(IF(CQ$2=1,Assumptions!$H36/12,-(SUMIF($D$2:$EE$2,CQ$2-1,$D35:$EE35)/12)*(1+XLOOKUP(CQ$2,Assumptions!$C$94:$M$94,Assumptions!$C$98:$M$98))))</f>
        <v>-520.3532576</v>
      </c>
      <c r="CR35" s="54">
        <f t="array" ref="CR35">-(IF(CR$2=1,Assumptions!$H36/12,-(SUMIF($D$2:$EE$2,CR$2-1,$D35:$EE35)/12)*(1+XLOOKUP(CR$2,Assumptions!$C$94:$M$94,Assumptions!$C$98:$M$98))))</f>
        <v>-520.3532576</v>
      </c>
      <c r="CS35" s="54">
        <f t="array" ref="CS35">-(IF(CS$2=1,Assumptions!$H36/12,-(SUMIF($D$2:$EE$2,CS$2-1,$D35:$EE35)/12)*(1+XLOOKUP(CS$2,Assumptions!$C$94:$M$94,Assumptions!$C$98:$M$98))))</f>
        <v>-520.3532576</v>
      </c>
      <c r="CT35" s="54">
        <f t="array" ref="CT35">-(IF(CT$2=1,Assumptions!$H36/12,-(SUMIF($D$2:$EE$2,CT$2-1,$D35:$EE35)/12)*(1+XLOOKUP(CT$2,Assumptions!$C$94:$M$94,Assumptions!$C$98:$M$98))))</f>
        <v>-520.3532576</v>
      </c>
      <c r="CU35" s="54">
        <f t="array" ref="CU35">-(IF(CU$2=1,Assumptions!$H36/12,-(SUMIF($D$2:$EE$2,CU$2-1,$D35:$EE35)/12)*(1+XLOOKUP(CU$2,Assumptions!$C$94:$M$94,Assumptions!$C$98:$M$98))))</f>
        <v>-520.3532576</v>
      </c>
      <c r="CV35" s="54">
        <f t="array" ref="CV35">-(IF(CV$2=1,Assumptions!$H36/12,-(SUMIF($D$2:$EE$2,CV$2-1,$D35:$EE35)/12)*(1+XLOOKUP(CV$2,Assumptions!$C$94:$M$94,Assumptions!$C$98:$M$98))))</f>
        <v>-535.9638553</v>
      </c>
      <c r="CW35" s="54">
        <f t="array" ref="CW35">-(IF(CW$2=1,Assumptions!$H36/12,-(SUMIF($D$2:$EE$2,CW$2-1,$D35:$EE35)/12)*(1+XLOOKUP(CW$2,Assumptions!$C$94:$M$94,Assumptions!$C$98:$M$98))))</f>
        <v>-535.9638553</v>
      </c>
      <c r="CX35" s="54">
        <f t="array" ref="CX35">-(IF(CX$2=1,Assumptions!$H36/12,-(SUMIF($D$2:$EE$2,CX$2-1,$D35:$EE35)/12)*(1+XLOOKUP(CX$2,Assumptions!$C$94:$M$94,Assumptions!$C$98:$M$98))))</f>
        <v>-535.9638553</v>
      </c>
      <c r="CY35" s="54">
        <f t="array" ref="CY35">-(IF(CY$2=1,Assumptions!$H36/12,-(SUMIF($D$2:$EE$2,CY$2-1,$D35:$EE35)/12)*(1+XLOOKUP(CY$2,Assumptions!$C$94:$M$94,Assumptions!$C$98:$M$98))))</f>
        <v>-535.9638553</v>
      </c>
      <c r="CZ35" s="54">
        <f t="array" ref="CZ35">-(IF(CZ$2=1,Assumptions!$H36/12,-(SUMIF($D$2:$EE$2,CZ$2-1,$D35:$EE35)/12)*(1+XLOOKUP(CZ$2,Assumptions!$C$94:$M$94,Assumptions!$C$98:$M$98))))</f>
        <v>-535.9638553</v>
      </c>
      <c r="DA35" s="54">
        <f t="array" ref="DA35">-(IF(DA$2=1,Assumptions!$H36/12,-(SUMIF($D$2:$EE$2,DA$2-1,$D35:$EE35)/12)*(1+XLOOKUP(DA$2,Assumptions!$C$94:$M$94,Assumptions!$C$98:$M$98))))</f>
        <v>-535.9638553</v>
      </c>
      <c r="DB35" s="54">
        <f t="array" ref="DB35">-(IF(DB$2=1,Assumptions!$H36/12,-(SUMIF($D$2:$EE$2,DB$2-1,$D35:$EE35)/12)*(1+XLOOKUP(DB$2,Assumptions!$C$94:$M$94,Assumptions!$C$98:$M$98))))</f>
        <v>-535.9638553</v>
      </c>
      <c r="DC35" s="54">
        <f t="array" ref="DC35">-(IF(DC$2=1,Assumptions!$H36/12,-(SUMIF($D$2:$EE$2,DC$2-1,$D35:$EE35)/12)*(1+XLOOKUP(DC$2,Assumptions!$C$94:$M$94,Assumptions!$C$98:$M$98))))</f>
        <v>-535.9638553</v>
      </c>
      <c r="DD35" s="54">
        <f t="array" ref="DD35">-(IF(DD$2=1,Assumptions!$H36/12,-(SUMIF($D$2:$EE$2,DD$2-1,$D35:$EE35)/12)*(1+XLOOKUP(DD$2,Assumptions!$C$94:$M$94,Assumptions!$C$98:$M$98))))</f>
        <v>-535.9638553</v>
      </c>
      <c r="DE35" s="54">
        <f t="array" ref="DE35">-(IF(DE$2=1,Assumptions!$H36/12,-(SUMIF($D$2:$EE$2,DE$2-1,$D35:$EE35)/12)*(1+XLOOKUP(DE$2,Assumptions!$C$94:$M$94,Assumptions!$C$98:$M$98))))</f>
        <v>-535.9638553</v>
      </c>
      <c r="DF35" s="54">
        <f t="array" ref="DF35">-(IF(DF$2=1,Assumptions!$H36/12,-(SUMIF($D$2:$EE$2,DF$2-1,$D35:$EE35)/12)*(1+XLOOKUP(DF$2,Assumptions!$C$94:$M$94,Assumptions!$C$98:$M$98))))</f>
        <v>-535.9638553</v>
      </c>
      <c r="DG35" s="54">
        <f t="array" ref="DG35">-(IF(DG$2=1,Assumptions!$H36/12,-(SUMIF($D$2:$EE$2,DG$2-1,$D35:$EE35)/12)*(1+XLOOKUP(DG$2,Assumptions!$C$94:$M$94,Assumptions!$C$98:$M$98))))</f>
        <v>-535.9638553</v>
      </c>
      <c r="DH35" s="54">
        <f t="array" ref="DH35">-(IF(DH$2=1,Assumptions!$H36/12,-(SUMIF($D$2:$EE$2,DH$2-1,$D35:$EE35)/12)*(1+XLOOKUP(DH$2,Assumptions!$C$94:$M$94,Assumptions!$C$98:$M$98))))</f>
        <v>-552.042771</v>
      </c>
      <c r="DI35" s="54">
        <f t="array" ref="DI35">-(IF(DI$2=1,Assumptions!$H36/12,-(SUMIF($D$2:$EE$2,DI$2-1,$D35:$EE35)/12)*(1+XLOOKUP(DI$2,Assumptions!$C$94:$M$94,Assumptions!$C$98:$M$98))))</f>
        <v>-552.042771</v>
      </c>
      <c r="DJ35" s="54">
        <f t="array" ref="DJ35">-(IF(DJ$2=1,Assumptions!$H36/12,-(SUMIF($D$2:$EE$2,DJ$2-1,$D35:$EE35)/12)*(1+XLOOKUP(DJ$2,Assumptions!$C$94:$M$94,Assumptions!$C$98:$M$98))))</f>
        <v>-552.042771</v>
      </c>
      <c r="DK35" s="54">
        <f t="array" ref="DK35">-(IF(DK$2=1,Assumptions!$H36/12,-(SUMIF($D$2:$EE$2,DK$2-1,$D35:$EE35)/12)*(1+XLOOKUP(DK$2,Assumptions!$C$94:$M$94,Assumptions!$C$98:$M$98))))</f>
        <v>-552.042771</v>
      </c>
      <c r="DL35" s="54">
        <f t="array" ref="DL35">-(IF(DL$2=1,Assumptions!$H36/12,-(SUMIF($D$2:$EE$2,DL$2-1,$D35:$EE35)/12)*(1+XLOOKUP(DL$2,Assumptions!$C$94:$M$94,Assumptions!$C$98:$M$98))))</f>
        <v>-552.042771</v>
      </c>
      <c r="DM35" s="54">
        <f t="array" ref="DM35">-(IF(DM$2=1,Assumptions!$H36/12,-(SUMIF($D$2:$EE$2,DM$2-1,$D35:$EE35)/12)*(1+XLOOKUP(DM$2,Assumptions!$C$94:$M$94,Assumptions!$C$98:$M$98))))</f>
        <v>-552.042771</v>
      </c>
      <c r="DN35" s="54">
        <f t="array" ref="DN35">-(IF(DN$2=1,Assumptions!$H36/12,-(SUMIF($D$2:$EE$2,DN$2-1,$D35:$EE35)/12)*(1+XLOOKUP(DN$2,Assumptions!$C$94:$M$94,Assumptions!$C$98:$M$98))))</f>
        <v>-552.042771</v>
      </c>
      <c r="DO35" s="54">
        <f t="array" ref="DO35">-(IF(DO$2=1,Assumptions!$H36/12,-(SUMIF($D$2:$EE$2,DO$2-1,$D35:$EE35)/12)*(1+XLOOKUP(DO$2,Assumptions!$C$94:$M$94,Assumptions!$C$98:$M$98))))</f>
        <v>-552.042771</v>
      </c>
      <c r="DP35" s="54">
        <f t="array" ref="DP35">-(IF(DP$2=1,Assumptions!$H36/12,-(SUMIF($D$2:$EE$2,DP$2-1,$D35:$EE35)/12)*(1+XLOOKUP(DP$2,Assumptions!$C$94:$M$94,Assumptions!$C$98:$M$98))))</f>
        <v>-552.042771</v>
      </c>
      <c r="DQ35" s="54">
        <f t="array" ref="DQ35">-(IF(DQ$2=1,Assumptions!$H36/12,-(SUMIF($D$2:$EE$2,DQ$2-1,$D35:$EE35)/12)*(1+XLOOKUP(DQ$2,Assumptions!$C$94:$M$94,Assumptions!$C$98:$M$98))))</f>
        <v>-552.042771</v>
      </c>
      <c r="DR35" s="54">
        <f t="array" ref="DR35">-(IF(DR$2=1,Assumptions!$H36/12,-(SUMIF($D$2:$EE$2,DR$2-1,$D35:$EE35)/12)*(1+XLOOKUP(DR$2,Assumptions!$C$94:$M$94,Assumptions!$C$98:$M$98))))</f>
        <v>-552.042771</v>
      </c>
      <c r="DS35" s="54">
        <f t="array" ref="DS35">-(IF(DS$2=1,Assumptions!$H36/12,-(SUMIF($D$2:$EE$2,DS$2-1,$D35:$EE35)/12)*(1+XLOOKUP(DS$2,Assumptions!$C$94:$M$94,Assumptions!$C$98:$M$98))))</f>
        <v>-552.042771</v>
      </c>
      <c r="DT35" s="54">
        <f t="array" ref="DT35">-(IF(DT$2=1,Assumptions!$H36/12,-(SUMIF($D$2:$EE$2,DT$2-1,$D35:$EE35)/12)*(1+XLOOKUP(DT$2,Assumptions!$C$94:$M$94,Assumptions!$C$98:$M$98))))</f>
        <v>-568.6040541</v>
      </c>
      <c r="DU35" s="54">
        <f t="array" ref="DU35">-(IF(DU$2=1,Assumptions!$H36/12,-(SUMIF($D$2:$EE$2,DU$2-1,$D35:$EE35)/12)*(1+XLOOKUP(DU$2,Assumptions!$C$94:$M$94,Assumptions!$C$98:$M$98))))</f>
        <v>-568.6040541</v>
      </c>
      <c r="DV35" s="54">
        <f t="array" ref="DV35">-(IF(DV$2=1,Assumptions!$H36/12,-(SUMIF($D$2:$EE$2,DV$2-1,$D35:$EE35)/12)*(1+XLOOKUP(DV$2,Assumptions!$C$94:$M$94,Assumptions!$C$98:$M$98))))</f>
        <v>-568.6040541</v>
      </c>
      <c r="DW35" s="54">
        <f t="array" ref="DW35">-(IF(DW$2=1,Assumptions!$H36/12,-(SUMIF($D$2:$EE$2,DW$2-1,$D35:$EE35)/12)*(1+XLOOKUP(DW$2,Assumptions!$C$94:$M$94,Assumptions!$C$98:$M$98))))</f>
        <v>-568.6040541</v>
      </c>
      <c r="DX35" s="54">
        <f t="array" ref="DX35">-(IF(DX$2=1,Assumptions!$H36/12,-(SUMIF($D$2:$EE$2,DX$2-1,$D35:$EE35)/12)*(1+XLOOKUP(DX$2,Assumptions!$C$94:$M$94,Assumptions!$C$98:$M$98))))</f>
        <v>-568.6040541</v>
      </c>
      <c r="DY35" s="54">
        <f t="array" ref="DY35">-(IF(DY$2=1,Assumptions!$H36/12,-(SUMIF($D$2:$EE$2,DY$2-1,$D35:$EE35)/12)*(1+XLOOKUP(DY$2,Assumptions!$C$94:$M$94,Assumptions!$C$98:$M$98))))</f>
        <v>-568.6040541</v>
      </c>
      <c r="DZ35" s="54">
        <f t="array" ref="DZ35">-(IF(DZ$2=1,Assumptions!$H36/12,-(SUMIF($D$2:$EE$2,DZ$2-1,$D35:$EE35)/12)*(1+XLOOKUP(DZ$2,Assumptions!$C$94:$M$94,Assumptions!$C$98:$M$98))))</f>
        <v>-568.6040541</v>
      </c>
      <c r="EA35" s="54">
        <f t="array" ref="EA35">-(IF(EA$2=1,Assumptions!$H36/12,-(SUMIF($D$2:$EE$2,EA$2-1,$D35:$EE35)/12)*(1+XLOOKUP(EA$2,Assumptions!$C$94:$M$94,Assumptions!$C$98:$M$98))))</f>
        <v>-568.6040541</v>
      </c>
      <c r="EB35" s="54">
        <f t="array" ref="EB35">-(IF(EB$2=1,Assumptions!$H36/12,-(SUMIF($D$2:$EE$2,EB$2-1,$D35:$EE35)/12)*(1+XLOOKUP(EB$2,Assumptions!$C$94:$M$94,Assumptions!$C$98:$M$98))))</f>
        <v>-568.6040541</v>
      </c>
      <c r="EC35" s="54">
        <f t="array" ref="EC35">-(IF(EC$2=1,Assumptions!$H36/12,-(SUMIF($D$2:$EE$2,EC$2-1,$D35:$EE35)/12)*(1+XLOOKUP(EC$2,Assumptions!$C$94:$M$94,Assumptions!$C$98:$M$98))))</f>
        <v>-568.6040541</v>
      </c>
      <c r="ED35" s="54">
        <f t="array" ref="ED35">-(IF(ED$2=1,Assumptions!$H36/12,-(SUMIF($D$2:$EE$2,ED$2-1,$D35:$EE35)/12)*(1+XLOOKUP(ED$2,Assumptions!$C$94:$M$94,Assumptions!$C$98:$M$98))))</f>
        <v>-568.6040541</v>
      </c>
      <c r="EE35" s="54">
        <f t="array" ref="EE35">-(IF(EE$2=1,Assumptions!$H36/12,-(SUMIF($D$2:$EE$2,EE$2-1,$D35:$EE35)/12)*(1+XLOOKUP(EE$2,Assumptions!$C$94:$M$94,Assumptions!$C$98:$M$98))))</f>
        <v>-568.6040541</v>
      </c>
    </row>
    <row r="36" ht="15.75" customHeight="1">
      <c r="A36" s="1"/>
      <c r="B36" s="92"/>
      <c r="C36" s="47" t="str">
        <f>Assumptions!B37</f>
        <v>Total Operating Expenses</v>
      </c>
      <c r="D36" s="209">
        <f t="shared" ref="D36:EE36" si="6">SUM(D24:D35)</f>
        <v>-25984.65056</v>
      </c>
      <c r="E36" s="209">
        <f t="shared" si="6"/>
        <v>-25984.65056</v>
      </c>
      <c r="F36" s="209">
        <f t="shared" si="6"/>
        <v>-25984.65056</v>
      </c>
      <c r="G36" s="209">
        <f t="shared" si="6"/>
        <v>-25984.65056</v>
      </c>
      <c r="H36" s="209">
        <f t="shared" si="6"/>
        <v>-25984.65056</v>
      </c>
      <c r="I36" s="209">
        <f t="shared" si="6"/>
        <v>-25984.65056</v>
      </c>
      <c r="J36" s="209">
        <f t="shared" si="6"/>
        <v>-25984.65056</v>
      </c>
      <c r="K36" s="209">
        <f t="shared" si="6"/>
        <v>-25984.65056</v>
      </c>
      <c r="L36" s="209">
        <f t="shared" si="6"/>
        <v>-25984.65056</v>
      </c>
      <c r="M36" s="209">
        <f t="shared" si="6"/>
        <v>-25984.65056</v>
      </c>
      <c r="N36" s="209">
        <f t="shared" si="6"/>
        <v>-25984.65056</v>
      </c>
      <c r="O36" s="209">
        <f t="shared" si="6"/>
        <v>-25984.65056</v>
      </c>
      <c r="P36" s="209">
        <f t="shared" si="6"/>
        <v>-26813.36561</v>
      </c>
      <c r="Q36" s="209">
        <f t="shared" si="6"/>
        <v>-26813.36561</v>
      </c>
      <c r="R36" s="209">
        <f t="shared" si="6"/>
        <v>-26813.36561</v>
      </c>
      <c r="S36" s="209">
        <f t="shared" si="6"/>
        <v>-26813.36561</v>
      </c>
      <c r="T36" s="209">
        <f t="shared" si="6"/>
        <v>-26813.36561</v>
      </c>
      <c r="U36" s="209">
        <f t="shared" si="6"/>
        <v>-26813.36561</v>
      </c>
      <c r="V36" s="209">
        <f t="shared" si="6"/>
        <v>-26813.36561</v>
      </c>
      <c r="W36" s="209">
        <f t="shared" si="6"/>
        <v>-26813.36561</v>
      </c>
      <c r="X36" s="209">
        <f t="shared" si="6"/>
        <v>-26813.36561</v>
      </c>
      <c r="Y36" s="209">
        <f t="shared" si="6"/>
        <v>-26813.36561</v>
      </c>
      <c r="Z36" s="209">
        <f t="shared" si="6"/>
        <v>-26813.36561</v>
      </c>
      <c r="AA36" s="209">
        <f t="shared" si="6"/>
        <v>-26813.36561</v>
      </c>
      <c r="AB36" s="209">
        <f t="shared" si="6"/>
        <v>-27617.76658</v>
      </c>
      <c r="AC36" s="209">
        <f t="shared" si="6"/>
        <v>-27617.76658</v>
      </c>
      <c r="AD36" s="209">
        <f t="shared" si="6"/>
        <v>-27617.76658</v>
      </c>
      <c r="AE36" s="209">
        <f t="shared" si="6"/>
        <v>-27617.76658</v>
      </c>
      <c r="AF36" s="209">
        <f t="shared" si="6"/>
        <v>-27617.76658</v>
      </c>
      <c r="AG36" s="209">
        <f t="shared" si="6"/>
        <v>-27617.76658</v>
      </c>
      <c r="AH36" s="209">
        <f t="shared" si="6"/>
        <v>-27617.76658</v>
      </c>
      <c r="AI36" s="209">
        <f t="shared" si="6"/>
        <v>-27617.76658</v>
      </c>
      <c r="AJ36" s="209">
        <f t="shared" si="6"/>
        <v>-27617.76658</v>
      </c>
      <c r="AK36" s="209">
        <f t="shared" si="6"/>
        <v>-27617.76658</v>
      </c>
      <c r="AL36" s="209">
        <f t="shared" si="6"/>
        <v>-27617.76658</v>
      </c>
      <c r="AM36" s="209">
        <f t="shared" si="6"/>
        <v>-27617.76658</v>
      </c>
      <c r="AN36" s="209">
        <f t="shared" si="6"/>
        <v>-28446.29958</v>
      </c>
      <c r="AO36" s="209">
        <f t="shared" si="6"/>
        <v>-28446.29958</v>
      </c>
      <c r="AP36" s="209">
        <f t="shared" si="6"/>
        <v>-28446.29958</v>
      </c>
      <c r="AQ36" s="209">
        <f t="shared" si="6"/>
        <v>-28446.29958</v>
      </c>
      <c r="AR36" s="209">
        <f t="shared" si="6"/>
        <v>-28446.29958</v>
      </c>
      <c r="AS36" s="209">
        <f t="shared" si="6"/>
        <v>-28446.29958</v>
      </c>
      <c r="AT36" s="209">
        <f t="shared" si="6"/>
        <v>-28446.29958</v>
      </c>
      <c r="AU36" s="209">
        <f t="shared" si="6"/>
        <v>-28446.29958</v>
      </c>
      <c r="AV36" s="209">
        <f t="shared" si="6"/>
        <v>-28446.29958</v>
      </c>
      <c r="AW36" s="209">
        <f t="shared" si="6"/>
        <v>-28446.29958</v>
      </c>
      <c r="AX36" s="209">
        <f t="shared" si="6"/>
        <v>-28446.29958</v>
      </c>
      <c r="AY36" s="209">
        <f t="shared" si="6"/>
        <v>-28446.29958</v>
      </c>
      <c r="AZ36" s="209">
        <f t="shared" si="6"/>
        <v>-29299.68856</v>
      </c>
      <c r="BA36" s="209">
        <f t="shared" si="6"/>
        <v>-29299.68856</v>
      </c>
      <c r="BB36" s="209">
        <f t="shared" si="6"/>
        <v>-29299.68856</v>
      </c>
      <c r="BC36" s="209">
        <f t="shared" si="6"/>
        <v>-29299.68856</v>
      </c>
      <c r="BD36" s="209">
        <f t="shared" si="6"/>
        <v>-29299.68856</v>
      </c>
      <c r="BE36" s="209">
        <f t="shared" si="6"/>
        <v>-29299.68856</v>
      </c>
      <c r="BF36" s="209">
        <f t="shared" si="6"/>
        <v>-29299.68856</v>
      </c>
      <c r="BG36" s="209">
        <f t="shared" si="6"/>
        <v>-29299.68856</v>
      </c>
      <c r="BH36" s="209">
        <f t="shared" si="6"/>
        <v>-29299.68856</v>
      </c>
      <c r="BI36" s="209">
        <f t="shared" si="6"/>
        <v>-29299.68856</v>
      </c>
      <c r="BJ36" s="209">
        <f t="shared" si="6"/>
        <v>-29299.68856</v>
      </c>
      <c r="BK36" s="209">
        <f t="shared" si="6"/>
        <v>-29299.68856</v>
      </c>
      <c r="BL36" s="209">
        <f t="shared" si="6"/>
        <v>-30178.67922</v>
      </c>
      <c r="BM36" s="209">
        <f t="shared" si="6"/>
        <v>-30178.67922</v>
      </c>
      <c r="BN36" s="209">
        <f t="shared" si="6"/>
        <v>-30178.67922</v>
      </c>
      <c r="BO36" s="209">
        <f t="shared" si="6"/>
        <v>-30178.67922</v>
      </c>
      <c r="BP36" s="209">
        <f t="shared" si="6"/>
        <v>-30178.67922</v>
      </c>
      <c r="BQ36" s="209">
        <f t="shared" si="6"/>
        <v>-30178.67922</v>
      </c>
      <c r="BR36" s="209">
        <f t="shared" si="6"/>
        <v>-30178.67922</v>
      </c>
      <c r="BS36" s="209">
        <f t="shared" si="6"/>
        <v>-30178.67922</v>
      </c>
      <c r="BT36" s="209">
        <f t="shared" si="6"/>
        <v>-30178.67922</v>
      </c>
      <c r="BU36" s="209">
        <f t="shared" si="6"/>
        <v>-30178.67922</v>
      </c>
      <c r="BV36" s="209">
        <f t="shared" si="6"/>
        <v>-30178.67922</v>
      </c>
      <c r="BW36" s="209">
        <f t="shared" si="6"/>
        <v>-30178.67922</v>
      </c>
      <c r="BX36" s="209">
        <f t="shared" si="6"/>
        <v>-31084.0396</v>
      </c>
      <c r="BY36" s="209">
        <f t="shared" si="6"/>
        <v>-31084.0396</v>
      </c>
      <c r="BZ36" s="209">
        <f t="shared" si="6"/>
        <v>-31084.0396</v>
      </c>
      <c r="CA36" s="209">
        <f t="shared" si="6"/>
        <v>-31084.0396</v>
      </c>
      <c r="CB36" s="209">
        <f t="shared" si="6"/>
        <v>-31084.0396</v>
      </c>
      <c r="CC36" s="209">
        <f t="shared" si="6"/>
        <v>-31084.0396</v>
      </c>
      <c r="CD36" s="209">
        <f t="shared" si="6"/>
        <v>-31084.0396</v>
      </c>
      <c r="CE36" s="209">
        <f t="shared" si="6"/>
        <v>-31084.0396</v>
      </c>
      <c r="CF36" s="209">
        <f t="shared" si="6"/>
        <v>-31084.0396</v>
      </c>
      <c r="CG36" s="209">
        <f t="shared" si="6"/>
        <v>-31084.0396</v>
      </c>
      <c r="CH36" s="209">
        <f t="shared" si="6"/>
        <v>-31084.0396</v>
      </c>
      <c r="CI36" s="209">
        <f t="shared" si="6"/>
        <v>-31084.0396</v>
      </c>
      <c r="CJ36" s="209">
        <f t="shared" si="6"/>
        <v>-32016.56079</v>
      </c>
      <c r="CK36" s="209">
        <f t="shared" si="6"/>
        <v>-32016.56079</v>
      </c>
      <c r="CL36" s="209">
        <f t="shared" si="6"/>
        <v>-32016.56079</v>
      </c>
      <c r="CM36" s="209">
        <f t="shared" si="6"/>
        <v>-32016.56079</v>
      </c>
      <c r="CN36" s="209">
        <f t="shared" si="6"/>
        <v>-32016.56079</v>
      </c>
      <c r="CO36" s="209">
        <f t="shared" si="6"/>
        <v>-32016.56079</v>
      </c>
      <c r="CP36" s="209">
        <f t="shared" si="6"/>
        <v>-32016.56079</v>
      </c>
      <c r="CQ36" s="209">
        <f t="shared" si="6"/>
        <v>-32016.56079</v>
      </c>
      <c r="CR36" s="209">
        <f t="shared" si="6"/>
        <v>-32016.56079</v>
      </c>
      <c r="CS36" s="209">
        <f t="shared" si="6"/>
        <v>-32016.56079</v>
      </c>
      <c r="CT36" s="209">
        <f t="shared" si="6"/>
        <v>-32016.56079</v>
      </c>
      <c r="CU36" s="209">
        <f t="shared" si="6"/>
        <v>-32016.56079</v>
      </c>
      <c r="CV36" s="209">
        <f t="shared" si="6"/>
        <v>-32977.05761</v>
      </c>
      <c r="CW36" s="209">
        <f t="shared" si="6"/>
        <v>-32977.05761</v>
      </c>
      <c r="CX36" s="209">
        <f t="shared" si="6"/>
        <v>-32977.05761</v>
      </c>
      <c r="CY36" s="209">
        <f t="shared" si="6"/>
        <v>-32977.05761</v>
      </c>
      <c r="CZ36" s="209">
        <f t="shared" si="6"/>
        <v>-32977.05761</v>
      </c>
      <c r="DA36" s="209">
        <f t="shared" si="6"/>
        <v>-32977.05761</v>
      </c>
      <c r="DB36" s="209">
        <f t="shared" si="6"/>
        <v>-32977.05761</v>
      </c>
      <c r="DC36" s="209">
        <f t="shared" si="6"/>
        <v>-32977.05761</v>
      </c>
      <c r="DD36" s="209">
        <f t="shared" si="6"/>
        <v>-32977.05761</v>
      </c>
      <c r="DE36" s="209">
        <f t="shared" si="6"/>
        <v>-32977.05761</v>
      </c>
      <c r="DF36" s="209">
        <f t="shared" si="6"/>
        <v>-32977.05761</v>
      </c>
      <c r="DG36" s="209">
        <f t="shared" si="6"/>
        <v>-32977.05761</v>
      </c>
      <c r="DH36" s="209">
        <f t="shared" si="6"/>
        <v>-33966.36934</v>
      </c>
      <c r="DI36" s="209">
        <f t="shared" si="6"/>
        <v>-33966.36934</v>
      </c>
      <c r="DJ36" s="209">
        <f t="shared" si="6"/>
        <v>-33966.36934</v>
      </c>
      <c r="DK36" s="209">
        <f t="shared" si="6"/>
        <v>-33966.36934</v>
      </c>
      <c r="DL36" s="209">
        <f t="shared" si="6"/>
        <v>-33966.36934</v>
      </c>
      <c r="DM36" s="209">
        <f t="shared" si="6"/>
        <v>-33966.36934</v>
      </c>
      <c r="DN36" s="209">
        <f t="shared" si="6"/>
        <v>-33966.36934</v>
      </c>
      <c r="DO36" s="209">
        <f t="shared" si="6"/>
        <v>-33966.36934</v>
      </c>
      <c r="DP36" s="209">
        <f t="shared" si="6"/>
        <v>-33966.36934</v>
      </c>
      <c r="DQ36" s="209">
        <f t="shared" si="6"/>
        <v>-33966.36934</v>
      </c>
      <c r="DR36" s="209">
        <f t="shared" si="6"/>
        <v>-33966.36934</v>
      </c>
      <c r="DS36" s="209">
        <f t="shared" si="6"/>
        <v>-33966.36934</v>
      </c>
      <c r="DT36" s="209">
        <f t="shared" si="6"/>
        <v>-34921.1975</v>
      </c>
      <c r="DU36" s="209">
        <f t="shared" si="6"/>
        <v>-34921.1975</v>
      </c>
      <c r="DV36" s="209">
        <f t="shared" si="6"/>
        <v>-34921.1975</v>
      </c>
      <c r="DW36" s="209">
        <f t="shared" si="6"/>
        <v>-34921.1975</v>
      </c>
      <c r="DX36" s="209">
        <f t="shared" si="6"/>
        <v>-34921.1975</v>
      </c>
      <c r="DY36" s="209">
        <f t="shared" si="6"/>
        <v>-34921.1975</v>
      </c>
      <c r="DZ36" s="209">
        <f t="shared" si="6"/>
        <v>-34921.1975</v>
      </c>
      <c r="EA36" s="209">
        <f t="shared" si="6"/>
        <v>-34921.1975</v>
      </c>
      <c r="EB36" s="209">
        <f t="shared" si="6"/>
        <v>-34921.1975</v>
      </c>
      <c r="EC36" s="209">
        <f t="shared" si="6"/>
        <v>-34921.1975</v>
      </c>
      <c r="ED36" s="209">
        <f t="shared" si="6"/>
        <v>-34921.1975</v>
      </c>
      <c r="EE36" s="209">
        <f t="shared" si="6"/>
        <v>-34921.1975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7"/>
      <c r="C38" s="47" t="str">
        <f>Assumptions!B39</f>
        <v>Net Operating Income</v>
      </c>
      <c r="D38" s="213">
        <f>IF(OR(D$1=Assumptions!$B$115,D$1=Assumptions!$C$115,D$1=Assumptions!$D$115,D$1=Assumptions!$E$115,D$1=Assumptions!$F$115),(Assumptions!$C$105*D$21)+(SUM(D28+D30+D32+D33+D34)+(Assumptions!$C$105*SUM(D$24:D$27,D$29,D$31,D$35))),(D$21+D$36))</f>
        <v>29168.53676</v>
      </c>
      <c r="E38" s="213">
        <f>IF(OR(E$1=Assumptions!$B$115,E$1=Assumptions!$C$115,E$1=Assumptions!$D$115,E$1=Assumptions!$E$115,E$1=Assumptions!$F$115),(Assumptions!$C$105*E$21)+(SUM(E28+E30+E32+E33+E34)+(Assumptions!$C$105*SUM(E$24:E$27,E$29,E$31,E$35))),(E$21+E$36))</f>
        <v>29168.53676</v>
      </c>
      <c r="F38" s="213">
        <f>IF(OR(F$1=Assumptions!$B$115,F$1=Assumptions!$C$115,F$1=Assumptions!$D$115,F$1=Assumptions!$E$115,F$1=Assumptions!$F$115),(Assumptions!$C$105*F$21)+(SUM(F28+F30+F32+F33+F34)+(Assumptions!$C$105*SUM(F$24:F$27,F$29,F$31,F$35))),(F$21+F$36))</f>
        <v>29168.53676</v>
      </c>
      <c r="G38" s="213">
        <f>IF(OR(G$1=Assumptions!$B$115,G$1=Assumptions!$C$115,G$1=Assumptions!$D$115,G$1=Assumptions!$E$115,G$1=Assumptions!$F$115),(Assumptions!$C$105*G$21)+(SUM(G28+G30+G32+G33+G34)+(Assumptions!$C$105*SUM(G$24:G$27,G$29,G$31,G$35))),(G$21+G$36))</f>
        <v>29168.53676</v>
      </c>
      <c r="H38" s="213">
        <f>IF(OR(H$1=Assumptions!$B$115,H$1=Assumptions!$C$115,H$1=Assumptions!$D$115,H$1=Assumptions!$E$115,H$1=Assumptions!$F$115),(Assumptions!$C$105*H$21)+(SUM(H28+H30+H32+H33+H34)+(Assumptions!$C$105*SUM(H$24:H$27,H$29,H$31,H$35))),(H$21+H$36))</f>
        <v>29168.53676</v>
      </c>
      <c r="I38" s="213">
        <f>IF(OR(I$1=Assumptions!$B$115,I$1=Assumptions!$C$115,I$1=Assumptions!$D$115,I$1=Assumptions!$E$115,I$1=Assumptions!$F$115),(Assumptions!$C$105*I$21)+(SUM(I28+I30+I32+I33+I34)+(Assumptions!$C$105*SUM(I$24:I$27,I$29,I$31,I$35))),(I$21+I$36))</f>
        <v>29168.53676</v>
      </c>
      <c r="J38" s="213">
        <f>IF(OR(J$1=Assumptions!$B$115,J$1=Assumptions!$C$115,J$1=Assumptions!$D$115,J$1=Assumptions!$E$115,J$1=Assumptions!$F$115),(Assumptions!$C$105*J$21)+(SUM(J28+J30+J32+J33+J34)+(Assumptions!$C$105*SUM(J$24:J$27,J$29,J$31,J$35))),(J$21+J$36))</f>
        <v>29168.53676</v>
      </c>
      <c r="K38" s="213">
        <f>IF(OR(K$1=Assumptions!$B$115,K$1=Assumptions!$C$115,K$1=Assumptions!$D$115,K$1=Assumptions!$E$115,K$1=Assumptions!$F$115),(Assumptions!$C$105*K$21)+(SUM(K28+K30+K32+K33+K34)+(Assumptions!$C$105*SUM(K$24:K$27,K$29,K$31,K$35))),(K$21+K$36))</f>
        <v>29168.53676</v>
      </c>
      <c r="L38" s="213">
        <f>IF(OR(L$1=Assumptions!$B$115,L$1=Assumptions!$C$115,L$1=Assumptions!$D$115,L$1=Assumptions!$E$115,L$1=Assumptions!$F$115),(Assumptions!$C$105*L$21)+(SUM(L28+L30+L32+L33+L34)+(Assumptions!$C$105*SUM(L$24:L$27,L$29,L$31,L$35))),(L$21+L$36))</f>
        <v>29168.53676</v>
      </c>
      <c r="M38" s="213">
        <f>IF(OR(M$1=Assumptions!$B$115,M$1=Assumptions!$C$115,M$1=Assumptions!$D$115,M$1=Assumptions!$E$115,M$1=Assumptions!$F$115),(Assumptions!$C$105*M$21)+(SUM(M28+M30+M32+M33+M34)+(Assumptions!$C$105*SUM(M$24:M$27,M$29,M$31,M$35))),(M$21+M$36))</f>
        <v>29168.53676</v>
      </c>
      <c r="N38" s="213">
        <f>IF(OR(N$1=Assumptions!$B$115,N$1=Assumptions!$C$115,N$1=Assumptions!$D$115,N$1=Assumptions!$E$115,N$1=Assumptions!$F$115),(Assumptions!$C$105*N$21)+(SUM(N28+N30+N32+N33+N34)+(Assumptions!$C$105*SUM(N$24:N$27,N$29,N$31,N$35))),(N$21+N$36))</f>
        <v>29168.53676</v>
      </c>
      <c r="O38" s="213">
        <f>IF(OR(O$1=Assumptions!$B$115,O$1=Assumptions!$C$115,O$1=Assumptions!$D$115,O$1=Assumptions!$E$115,O$1=Assumptions!$F$115),(Assumptions!$C$105*O$21)+(SUM(O28+O30+O32+O33+O34)+(Assumptions!$C$105*SUM(O$24:O$27,O$29,O$31,O$35))),(O$21+O$36))</f>
        <v>29168.53676</v>
      </c>
      <c r="P38" s="213">
        <f>IF(OR(P$1=Assumptions!$B$115,P$1=Assumptions!$C$115,P$1=Assumptions!$D$115,P$1=Assumptions!$E$115,P$1=Assumptions!$F$115),(Assumptions!$C$105*P$21)+(SUM(P28+P30+P32+P33+P34)+(Assumptions!$C$105*SUM(P$24:P$27,P$29,P$31,P$35))),(P$21+P$36))</f>
        <v>33693.94971</v>
      </c>
      <c r="Q38" s="213">
        <f>IF(OR(Q$1=Assumptions!$B$115,Q$1=Assumptions!$C$115,Q$1=Assumptions!$D$115,Q$1=Assumptions!$E$115,Q$1=Assumptions!$F$115),(Assumptions!$C$105*Q$21)+(SUM(Q28+Q30+Q32+Q33+Q34)+(Assumptions!$C$105*SUM(Q$24:Q$27,Q$29,Q$31,Q$35))),(Q$21+Q$36))</f>
        <v>33693.94971</v>
      </c>
      <c r="R38" s="213">
        <f>IF(OR(R$1=Assumptions!$B$115,R$1=Assumptions!$C$115,R$1=Assumptions!$D$115,R$1=Assumptions!$E$115,R$1=Assumptions!$F$115),(Assumptions!$C$105*R$21)+(SUM(R28+R30+R32+R33+R34)+(Assumptions!$C$105*SUM(R$24:R$27,R$29,R$31,R$35))),(R$21+R$36))</f>
        <v>33693.94971</v>
      </c>
      <c r="S38" s="213">
        <f>IF(OR(S$1=Assumptions!$B$115,S$1=Assumptions!$C$115,S$1=Assumptions!$D$115,S$1=Assumptions!$E$115,S$1=Assumptions!$F$115),(Assumptions!$C$105*S$21)+(SUM(S28+S30+S32+S33+S34)+(Assumptions!$C$105*SUM(S$24:S$27,S$29,S$31,S$35))),(S$21+S$36))</f>
        <v>33693.94971</v>
      </c>
      <c r="T38" s="213">
        <f>IF(OR(T$1=Assumptions!$B$115,T$1=Assumptions!$C$115,T$1=Assumptions!$D$115,T$1=Assumptions!$E$115,T$1=Assumptions!$F$115),(Assumptions!$C$105*T$21)+(SUM(T28+T30+T32+T33+T34)+(Assumptions!$C$105*SUM(T$24:T$27,T$29,T$31,T$35))),(T$21+T$36))</f>
        <v>33693.94971</v>
      </c>
      <c r="U38" s="213">
        <f>IF(OR(U$1=Assumptions!$B$115,U$1=Assumptions!$C$115,U$1=Assumptions!$D$115,U$1=Assumptions!$E$115,U$1=Assumptions!$F$115),(Assumptions!$C$105*U$21)+(SUM(U28+U30+U32+U33+U34)+(Assumptions!$C$105*SUM(U$24:U$27,U$29,U$31,U$35))),(U$21+U$36))</f>
        <v>33693.94971</v>
      </c>
      <c r="V38" s="213">
        <f>IF(OR(V$1=Assumptions!$B$115,V$1=Assumptions!$C$115,V$1=Assumptions!$D$115,V$1=Assumptions!$E$115,V$1=Assumptions!$F$115),(Assumptions!$C$105*V$21)+(SUM(V28+V30+V32+V33+V34)+(Assumptions!$C$105*SUM(V$24:V$27,V$29,V$31,V$35))),(V$21+V$36))</f>
        <v>33693.94971</v>
      </c>
      <c r="W38" s="213">
        <f>IF(OR(W$1=Assumptions!$B$115,W$1=Assumptions!$C$115,W$1=Assumptions!$D$115,W$1=Assumptions!$E$115,W$1=Assumptions!$F$115),(Assumptions!$C$105*W$21)+(SUM(W28+W30+W32+W33+W34)+(Assumptions!$C$105*SUM(W$24:W$27,W$29,W$31,W$35))),(W$21+W$36))</f>
        <v>33693.94971</v>
      </c>
      <c r="X38" s="213">
        <f>IF(OR(X$1=Assumptions!$B$115,X$1=Assumptions!$C$115,X$1=Assumptions!$D$115,X$1=Assumptions!$E$115,X$1=Assumptions!$F$115),(Assumptions!$C$105*X$21)+(SUM(X28+X30+X32+X33+X34)+(Assumptions!$C$105*SUM(X$24:X$27,X$29,X$31,X$35))),(X$21+X$36))</f>
        <v>33693.94971</v>
      </c>
      <c r="Y38" s="213">
        <f>IF(OR(Y$1=Assumptions!$B$115,Y$1=Assumptions!$C$115,Y$1=Assumptions!$D$115,Y$1=Assumptions!$E$115,Y$1=Assumptions!$F$115),(Assumptions!$C$105*Y$21)+(SUM(Y28+Y30+Y32+Y33+Y34)+(Assumptions!$C$105*SUM(Y$24:Y$27,Y$29,Y$31,Y$35))),(Y$21+Y$36))</f>
        <v>33693.94971</v>
      </c>
      <c r="Z38" s="213">
        <f>IF(OR(Z$1=Assumptions!$B$115,Z$1=Assumptions!$C$115,Z$1=Assumptions!$D$115,Z$1=Assumptions!$E$115,Z$1=Assumptions!$F$115),(Assumptions!$C$105*Z$21)+(SUM(Z28+Z30+Z32+Z33+Z34)+(Assumptions!$C$105*SUM(Z$24:Z$27,Z$29,Z$31,Z$35))),(Z$21+Z$36))</f>
        <v>33693.94971</v>
      </c>
      <c r="AA38" s="213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33693.94971</v>
      </c>
      <c r="AB38" s="213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34704.7682</v>
      </c>
      <c r="AC38" s="213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34704.7682</v>
      </c>
      <c r="AD38" s="213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34704.7682</v>
      </c>
      <c r="AE38" s="213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34704.7682</v>
      </c>
      <c r="AF38" s="213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34704.7682</v>
      </c>
      <c r="AG38" s="213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34704.7682</v>
      </c>
      <c r="AH38" s="213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34704.7682</v>
      </c>
      <c r="AI38" s="213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34704.7682</v>
      </c>
      <c r="AJ38" s="213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34704.7682</v>
      </c>
      <c r="AK38" s="213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34704.7682</v>
      </c>
      <c r="AL38" s="213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34704.7682</v>
      </c>
      <c r="AM38" s="213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34704.7682</v>
      </c>
      <c r="AN38" s="213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35745.91125</v>
      </c>
      <c r="AO38" s="213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35745.91125</v>
      </c>
      <c r="AP38" s="213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35745.91125</v>
      </c>
      <c r="AQ38" s="213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35745.91125</v>
      </c>
      <c r="AR38" s="213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35745.91125</v>
      </c>
      <c r="AS38" s="213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35745.91125</v>
      </c>
      <c r="AT38" s="213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35745.91125</v>
      </c>
      <c r="AU38" s="213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35745.91125</v>
      </c>
      <c r="AV38" s="213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35745.91125</v>
      </c>
      <c r="AW38" s="213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35745.91125</v>
      </c>
      <c r="AX38" s="213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35745.91125</v>
      </c>
      <c r="AY38" s="213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35745.91125</v>
      </c>
      <c r="AZ38" s="213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36818.28858</v>
      </c>
      <c r="BA38" s="213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36818.28858</v>
      </c>
      <c r="BB38" s="213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36818.28858</v>
      </c>
      <c r="BC38" s="213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36818.28858</v>
      </c>
      <c r="BD38" s="213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36818.28858</v>
      </c>
      <c r="BE38" s="213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36818.28858</v>
      </c>
      <c r="BF38" s="213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36818.28858</v>
      </c>
      <c r="BG38" s="213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36818.28858</v>
      </c>
      <c r="BH38" s="213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36818.28858</v>
      </c>
      <c r="BI38" s="213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36818.28858</v>
      </c>
      <c r="BJ38" s="213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36818.28858</v>
      </c>
      <c r="BK38" s="213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36818.28858</v>
      </c>
      <c r="BL38" s="213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37922.83724</v>
      </c>
      <c r="BM38" s="213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37922.83724</v>
      </c>
      <c r="BN38" s="213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37922.83724</v>
      </c>
      <c r="BO38" s="213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37922.83724</v>
      </c>
      <c r="BP38" s="213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37922.83724</v>
      </c>
      <c r="BQ38" s="213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37922.83724</v>
      </c>
      <c r="BR38" s="213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37922.83724</v>
      </c>
      <c r="BS38" s="213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37922.83724</v>
      </c>
      <c r="BT38" s="213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37922.83724</v>
      </c>
      <c r="BU38" s="213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37922.83724</v>
      </c>
      <c r="BV38" s="213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37922.83724</v>
      </c>
      <c r="BW38" s="213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37922.83724</v>
      </c>
      <c r="BX38" s="213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39060.52236</v>
      </c>
      <c r="BY38" s="213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39060.52236</v>
      </c>
      <c r="BZ38" s="213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39060.52236</v>
      </c>
      <c r="CA38" s="213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39060.52236</v>
      </c>
      <c r="CB38" s="213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39060.52236</v>
      </c>
      <c r="CC38" s="213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39060.52236</v>
      </c>
      <c r="CD38" s="213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39060.52236</v>
      </c>
      <c r="CE38" s="213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39060.52236</v>
      </c>
      <c r="CF38" s="213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39060.52236</v>
      </c>
      <c r="CG38" s="213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39060.52236</v>
      </c>
      <c r="CH38" s="213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39060.52236</v>
      </c>
      <c r="CI38" s="213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39060.52236</v>
      </c>
      <c r="CJ38" s="213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40232.33803</v>
      </c>
      <c r="CK38" s="213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40232.33803</v>
      </c>
      <c r="CL38" s="213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40232.33803</v>
      </c>
      <c r="CM38" s="213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40232.33803</v>
      </c>
      <c r="CN38" s="213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40232.33803</v>
      </c>
      <c r="CO38" s="213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40232.33803</v>
      </c>
      <c r="CP38" s="213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40232.33803</v>
      </c>
      <c r="CQ38" s="213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40232.33803</v>
      </c>
      <c r="CR38" s="213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40232.33803</v>
      </c>
      <c r="CS38" s="213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40232.33803</v>
      </c>
      <c r="CT38" s="213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40232.33803</v>
      </c>
      <c r="CU38" s="213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40232.33803</v>
      </c>
      <c r="CV38" s="213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41439.30817</v>
      </c>
      <c r="CW38" s="213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41439.30817</v>
      </c>
      <c r="CX38" s="213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41439.30817</v>
      </c>
      <c r="CY38" s="213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41439.30817</v>
      </c>
      <c r="CZ38" s="213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41439.30817</v>
      </c>
      <c r="DA38" s="213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41439.30817</v>
      </c>
      <c r="DB38" s="213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41439.30817</v>
      </c>
      <c r="DC38" s="213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41439.30817</v>
      </c>
      <c r="DD38" s="213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41439.30817</v>
      </c>
      <c r="DE38" s="213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41439.30817</v>
      </c>
      <c r="DF38" s="213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41439.30817</v>
      </c>
      <c r="DG38" s="213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41439.30817</v>
      </c>
      <c r="DH38" s="213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42682.48742</v>
      </c>
      <c r="DI38" s="213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42682.48742</v>
      </c>
      <c r="DJ38" s="213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42682.48742</v>
      </c>
      <c r="DK38" s="213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42682.48742</v>
      </c>
      <c r="DL38" s="213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42682.48742</v>
      </c>
      <c r="DM38" s="213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42682.48742</v>
      </c>
      <c r="DN38" s="213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42682.48742</v>
      </c>
      <c r="DO38" s="213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42682.48742</v>
      </c>
      <c r="DP38" s="213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42682.48742</v>
      </c>
      <c r="DQ38" s="213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42682.48742</v>
      </c>
      <c r="DR38" s="213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42682.48742</v>
      </c>
      <c r="DS38" s="213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42682.48742</v>
      </c>
      <c r="DT38" s="213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41888.36118</v>
      </c>
      <c r="DU38" s="213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41888.36118</v>
      </c>
      <c r="DV38" s="213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41888.36118</v>
      </c>
      <c r="DW38" s="213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41888.36118</v>
      </c>
      <c r="DX38" s="213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41888.36118</v>
      </c>
      <c r="DY38" s="213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41888.36118</v>
      </c>
      <c r="DZ38" s="213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41888.36118</v>
      </c>
      <c r="EA38" s="213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41888.36118</v>
      </c>
      <c r="EB38" s="213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41888.36118</v>
      </c>
      <c r="EC38" s="213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41888.36118</v>
      </c>
      <c r="ED38" s="213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41888.36118</v>
      </c>
      <c r="EE38" s="213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41888.36118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70" t="s">
        <v>195</v>
      </c>
      <c r="D40" s="132">
        <f>IF(OR(D$1=Assumptions!$B$115,D$1=Assumptions!$C$115,D$1=Assumptions!$D$115,D$1=Assumptions!$E$115,D$1=Assumptions!$F$115),Assumptions!$E$12*Assumptions!$C$102/Assumptions!$C$104,0)</f>
        <v>0</v>
      </c>
      <c r="E40" s="132">
        <f>IF(OR(E$1=Assumptions!$B$115,E$1=Assumptions!$C$115,E$1=Assumptions!$D$115,E$1=Assumptions!$E$115,E$1=Assumptions!$F$115),Assumptions!$E$12*Assumptions!$C$102/Assumptions!$C$104,0)</f>
        <v>0</v>
      </c>
      <c r="F40" s="132">
        <f>IF(OR(F$1=Assumptions!$B$115,F$1=Assumptions!$C$115,F$1=Assumptions!$D$115,F$1=Assumptions!$E$115,F$1=Assumptions!$F$115),Assumptions!$E$12*Assumptions!$C$102/Assumptions!$C$104,0)</f>
        <v>0</v>
      </c>
      <c r="G40" s="132">
        <f>IF(OR(G$1=Assumptions!$B$115,G$1=Assumptions!$C$115,G$1=Assumptions!$D$115,G$1=Assumptions!$E$115,G$1=Assumptions!$F$115),Assumptions!$E$12*Assumptions!$C$102/Assumptions!$C$104,0)</f>
        <v>0</v>
      </c>
      <c r="H40" s="132">
        <f>IF(OR(H$1=Assumptions!$B$115,H$1=Assumptions!$C$115,H$1=Assumptions!$D$115,H$1=Assumptions!$E$115,H$1=Assumptions!$F$115),Assumptions!$E$12*Assumptions!$C$102/Assumptions!$C$104,0)</f>
        <v>0</v>
      </c>
      <c r="I40" s="132">
        <f>IF(OR(I$1=Assumptions!$B$115,I$1=Assumptions!$C$115,I$1=Assumptions!$D$115,I$1=Assumptions!$E$115,I$1=Assumptions!$F$115),Assumptions!$E$12*Assumptions!$C$102/Assumptions!$C$104,0)</f>
        <v>0</v>
      </c>
      <c r="J40" s="132">
        <f>IF(OR(J$1=Assumptions!$B$115,J$1=Assumptions!$C$115,J$1=Assumptions!$D$115,J$1=Assumptions!$E$115,J$1=Assumptions!$F$115),Assumptions!$E$12*Assumptions!$C$102/Assumptions!$C$104,0)</f>
        <v>0</v>
      </c>
      <c r="K40" s="132">
        <f>IF(OR(K$1=Assumptions!$B$115,K$1=Assumptions!$C$115,K$1=Assumptions!$D$115,K$1=Assumptions!$E$115,K$1=Assumptions!$F$115),Assumptions!$E$12*Assumptions!$C$102/Assumptions!$C$104,0)</f>
        <v>0</v>
      </c>
      <c r="L40" s="132">
        <f>IF(OR(L$1=Assumptions!$B$115,L$1=Assumptions!$C$115,L$1=Assumptions!$D$115,L$1=Assumptions!$E$115,L$1=Assumptions!$F$115),Assumptions!$E$12*Assumptions!$C$102/Assumptions!$C$104,0)</f>
        <v>0</v>
      </c>
      <c r="M40" s="132">
        <f>IF(OR(M$1=Assumptions!$B$115,M$1=Assumptions!$C$115,M$1=Assumptions!$D$115,M$1=Assumptions!$E$115,M$1=Assumptions!$F$115),Assumptions!$E$12*Assumptions!$C$102/Assumptions!$C$104,0)</f>
        <v>0</v>
      </c>
      <c r="N40" s="132">
        <f>IF(OR(N$1=Assumptions!$B$115,N$1=Assumptions!$C$115,N$1=Assumptions!$D$115,N$1=Assumptions!$E$115,N$1=Assumptions!$F$115),Assumptions!$E$12*Assumptions!$C$102/Assumptions!$C$104,0)</f>
        <v>0</v>
      </c>
      <c r="O40" s="132">
        <f>IF(OR(O$1=Assumptions!$B$115,O$1=Assumptions!$C$115,O$1=Assumptions!$D$115,O$1=Assumptions!$E$115,O$1=Assumptions!$F$115),Assumptions!$E$12*Assumptions!$C$102/Assumptions!$C$104,0)</f>
        <v>0</v>
      </c>
      <c r="P40" s="132">
        <f>IF(OR(P$1=Assumptions!$B$115,P$1=Assumptions!$C$115,P$1=Assumptions!$D$115,P$1=Assumptions!$E$115,P$1=Assumptions!$F$115),Assumptions!$E$12*Assumptions!$C$102/Assumptions!$C$104,0)</f>
        <v>0</v>
      </c>
      <c r="Q40" s="132">
        <f>IF(OR(Q$1=Assumptions!$B$115,Q$1=Assumptions!$C$115,Q$1=Assumptions!$D$115,Q$1=Assumptions!$E$115,Q$1=Assumptions!$F$115),Assumptions!$E$12*Assumptions!$C$102/Assumptions!$C$104,0)</f>
        <v>0</v>
      </c>
      <c r="R40" s="132">
        <f>IF(OR(R$1=Assumptions!$B$115,R$1=Assumptions!$C$115,R$1=Assumptions!$D$115,R$1=Assumptions!$E$115,R$1=Assumptions!$F$115),Assumptions!$E$12*Assumptions!$C$102/Assumptions!$C$104,0)</f>
        <v>0</v>
      </c>
      <c r="S40" s="132">
        <f>IF(OR(S$1=Assumptions!$B$115,S$1=Assumptions!$C$115,S$1=Assumptions!$D$115,S$1=Assumptions!$E$115,S$1=Assumptions!$F$115),Assumptions!$E$12*Assumptions!$C$102/Assumptions!$C$104,0)</f>
        <v>0</v>
      </c>
      <c r="T40" s="132">
        <f>IF(OR(T$1=Assumptions!$B$115,T$1=Assumptions!$C$115,T$1=Assumptions!$D$115,T$1=Assumptions!$E$115,T$1=Assumptions!$F$115),Assumptions!$E$12*Assumptions!$C$102/Assumptions!$C$104,0)</f>
        <v>0</v>
      </c>
      <c r="U40" s="132">
        <f>IF(OR(U$1=Assumptions!$B$115,U$1=Assumptions!$C$115,U$1=Assumptions!$D$115,U$1=Assumptions!$E$115,U$1=Assumptions!$F$115),Assumptions!$E$12*Assumptions!$C$102/Assumptions!$C$104,0)</f>
        <v>0</v>
      </c>
      <c r="V40" s="132">
        <f>IF(OR(V$1=Assumptions!$B$115,V$1=Assumptions!$C$115,V$1=Assumptions!$D$115,V$1=Assumptions!$E$115,V$1=Assumptions!$F$115),Assumptions!$E$12*Assumptions!$C$102/Assumptions!$C$104,0)</f>
        <v>0</v>
      </c>
      <c r="W40" s="132">
        <f>IF(OR(W$1=Assumptions!$B$115,W$1=Assumptions!$C$115,W$1=Assumptions!$D$115,W$1=Assumptions!$E$115,W$1=Assumptions!$F$115),Assumptions!$E$12*Assumptions!$C$102/Assumptions!$C$104,0)</f>
        <v>0</v>
      </c>
      <c r="X40" s="132">
        <f>IF(OR(X$1=Assumptions!$B$115,X$1=Assumptions!$C$115,X$1=Assumptions!$D$115,X$1=Assumptions!$E$115,X$1=Assumptions!$F$115),Assumptions!$E$12*Assumptions!$C$102/Assumptions!$C$104,0)</f>
        <v>0</v>
      </c>
      <c r="Y40" s="132">
        <f>IF(OR(Y$1=Assumptions!$B$115,Y$1=Assumptions!$C$115,Y$1=Assumptions!$D$115,Y$1=Assumptions!$E$115,Y$1=Assumptions!$F$115),Assumptions!$E$12*Assumptions!$C$102/Assumptions!$C$104,0)</f>
        <v>0</v>
      </c>
      <c r="Z40" s="132">
        <f>IF(OR(Z$1=Assumptions!$B$115,Z$1=Assumptions!$C$115,Z$1=Assumptions!$D$115,Z$1=Assumptions!$E$115,Z$1=Assumptions!$F$115),Assumptions!$E$12*Assumptions!$C$102/Assumptions!$C$104,0)</f>
        <v>0</v>
      </c>
      <c r="AA40" s="132">
        <f>IF(OR(AA$1=Assumptions!$B$115,AA$1=Assumptions!$C$115,AA$1=Assumptions!$D$115,AA$1=Assumptions!$E$115,AA$1=Assumptions!$F$115),Assumptions!$E$12*Assumptions!$C$102/Assumptions!$C$104,0)</f>
        <v>0</v>
      </c>
      <c r="AB40" s="132">
        <f>IF(OR(AB$1=Assumptions!$B$115,AB$1=Assumptions!$C$115,AB$1=Assumptions!$D$115,AB$1=Assumptions!$E$115,AB$1=Assumptions!$F$115),Assumptions!$E$12*Assumptions!$C$102/Assumptions!$C$104,0)</f>
        <v>0</v>
      </c>
      <c r="AC40" s="132">
        <f>IF(OR(AC$1=Assumptions!$B$115,AC$1=Assumptions!$C$115,AC$1=Assumptions!$D$115,AC$1=Assumptions!$E$115,AC$1=Assumptions!$F$115),Assumptions!$E$12*Assumptions!$C$102/Assumptions!$C$104,0)</f>
        <v>0</v>
      </c>
      <c r="AD40" s="132">
        <f>IF(OR(AD$1=Assumptions!$B$115,AD$1=Assumptions!$C$115,AD$1=Assumptions!$D$115,AD$1=Assumptions!$E$115,AD$1=Assumptions!$F$115),Assumptions!$E$12*Assumptions!$C$102/Assumptions!$C$104,0)</f>
        <v>0</v>
      </c>
      <c r="AE40" s="132">
        <f>IF(OR(AE$1=Assumptions!$B$115,AE$1=Assumptions!$C$115,AE$1=Assumptions!$D$115,AE$1=Assumptions!$E$115,AE$1=Assumptions!$F$115),Assumptions!$E$12*Assumptions!$C$102/Assumptions!$C$104,0)</f>
        <v>0</v>
      </c>
      <c r="AF40" s="132">
        <f>IF(OR(AF$1=Assumptions!$B$115,AF$1=Assumptions!$C$115,AF$1=Assumptions!$D$115,AF$1=Assumptions!$E$115,AF$1=Assumptions!$F$115),Assumptions!$E$12*Assumptions!$C$102/Assumptions!$C$104,0)</f>
        <v>0</v>
      </c>
      <c r="AG40" s="132">
        <f>IF(OR(AG$1=Assumptions!$B$115,AG$1=Assumptions!$C$115,AG$1=Assumptions!$D$115,AG$1=Assumptions!$E$115,AG$1=Assumptions!$F$115),Assumptions!$E$12*Assumptions!$C$102/Assumptions!$C$104,0)</f>
        <v>0</v>
      </c>
      <c r="AH40" s="132">
        <f>IF(OR(AH$1=Assumptions!$B$115,AH$1=Assumptions!$C$115,AH$1=Assumptions!$D$115,AH$1=Assumptions!$E$115,AH$1=Assumptions!$F$115),Assumptions!$E$12*Assumptions!$C$102/Assumptions!$C$104,0)</f>
        <v>0</v>
      </c>
      <c r="AI40" s="132">
        <f>IF(OR(AI$1=Assumptions!$B$115,AI$1=Assumptions!$C$115,AI$1=Assumptions!$D$115,AI$1=Assumptions!$E$115,AI$1=Assumptions!$F$115),Assumptions!$E$12*Assumptions!$C$102/Assumptions!$C$104,0)</f>
        <v>0</v>
      </c>
      <c r="AJ40" s="132">
        <f>IF(OR(AJ$1=Assumptions!$B$115,AJ$1=Assumptions!$C$115,AJ$1=Assumptions!$D$115,AJ$1=Assumptions!$E$115,AJ$1=Assumptions!$F$115),Assumptions!$E$12*Assumptions!$C$102/Assumptions!$C$104,0)</f>
        <v>0</v>
      </c>
      <c r="AK40" s="132">
        <f>IF(OR(AK$1=Assumptions!$B$115,AK$1=Assumptions!$C$115,AK$1=Assumptions!$D$115,AK$1=Assumptions!$E$115,AK$1=Assumptions!$F$115),Assumptions!$E$12*Assumptions!$C$102/Assumptions!$C$104,0)</f>
        <v>0</v>
      </c>
      <c r="AL40" s="132">
        <f>IF(OR(AL$1=Assumptions!$B$115,AL$1=Assumptions!$C$115,AL$1=Assumptions!$D$115,AL$1=Assumptions!$E$115,AL$1=Assumptions!$F$115),Assumptions!$E$12*Assumptions!$C$102/Assumptions!$C$104,0)</f>
        <v>0</v>
      </c>
      <c r="AM40" s="132">
        <f>IF(OR(AM$1=Assumptions!$B$115,AM$1=Assumptions!$C$115,AM$1=Assumptions!$D$115,AM$1=Assumptions!$E$115,AM$1=Assumptions!$F$115),Assumptions!$E$12*Assumptions!$C$102/Assumptions!$C$104,0)</f>
        <v>0</v>
      </c>
      <c r="AN40" s="132">
        <f>IF(OR(AN$1=Assumptions!$B$115,AN$1=Assumptions!$C$115,AN$1=Assumptions!$D$115,AN$1=Assumptions!$E$115,AN$1=Assumptions!$F$115),Assumptions!$E$12*Assumptions!$C$102/Assumptions!$C$104,0)</f>
        <v>0</v>
      </c>
      <c r="AO40" s="132">
        <f>IF(OR(AO$1=Assumptions!$B$115,AO$1=Assumptions!$C$115,AO$1=Assumptions!$D$115,AO$1=Assumptions!$E$115,AO$1=Assumptions!$F$115),Assumptions!$E$12*Assumptions!$C$102/Assumptions!$C$104,0)</f>
        <v>0</v>
      </c>
      <c r="AP40" s="132">
        <f>IF(OR(AP$1=Assumptions!$B$115,AP$1=Assumptions!$C$115,AP$1=Assumptions!$D$115,AP$1=Assumptions!$E$115,AP$1=Assumptions!$F$115),Assumptions!$E$12*Assumptions!$C$102/Assumptions!$C$104,0)</f>
        <v>0</v>
      </c>
      <c r="AQ40" s="132">
        <f>IF(OR(AQ$1=Assumptions!$B$115,AQ$1=Assumptions!$C$115,AQ$1=Assumptions!$D$115,AQ$1=Assumptions!$E$115,AQ$1=Assumptions!$F$115),Assumptions!$E$12*Assumptions!$C$102/Assumptions!$C$104,0)</f>
        <v>0</v>
      </c>
      <c r="AR40" s="132">
        <f>IF(OR(AR$1=Assumptions!$B$115,AR$1=Assumptions!$C$115,AR$1=Assumptions!$D$115,AR$1=Assumptions!$E$115,AR$1=Assumptions!$F$115),Assumptions!$E$12*Assumptions!$C$102/Assumptions!$C$104,0)</f>
        <v>0</v>
      </c>
      <c r="AS40" s="132">
        <f>IF(OR(AS$1=Assumptions!$B$115,AS$1=Assumptions!$C$115,AS$1=Assumptions!$D$115,AS$1=Assumptions!$E$115,AS$1=Assumptions!$F$115),Assumptions!$E$12*Assumptions!$C$102/Assumptions!$C$104,0)</f>
        <v>0</v>
      </c>
      <c r="AT40" s="132">
        <f>IF(OR(AT$1=Assumptions!$B$115,AT$1=Assumptions!$C$115,AT$1=Assumptions!$D$115,AT$1=Assumptions!$E$115,AT$1=Assumptions!$F$115),Assumptions!$E$12*Assumptions!$C$102/Assumptions!$C$104,0)</f>
        <v>0</v>
      </c>
      <c r="AU40" s="132">
        <f>IF(OR(AU$1=Assumptions!$B$115,AU$1=Assumptions!$C$115,AU$1=Assumptions!$D$115,AU$1=Assumptions!$E$115,AU$1=Assumptions!$F$115),Assumptions!$E$12*Assumptions!$C$102/Assumptions!$C$104,0)</f>
        <v>0</v>
      </c>
      <c r="AV40" s="132">
        <f>IF(OR(AV$1=Assumptions!$B$115,AV$1=Assumptions!$C$115,AV$1=Assumptions!$D$115,AV$1=Assumptions!$E$115,AV$1=Assumptions!$F$115),Assumptions!$E$12*Assumptions!$C$102/Assumptions!$C$104,0)</f>
        <v>0</v>
      </c>
      <c r="AW40" s="132">
        <f>IF(OR(AW$1=Assumptions!$B$115,AW$1=Assumptions!$C$115,AW$1=Assumptions!$D$115,AW$1=Assumptions!$E$115,AW$1=Assumptions!$F$115),Assumptions!$E$12*Assumptions!$C$102/Assumptions!$C$104,0)</f>
        <v>0</v>
      </c>
      <c r="AX40" s="132">
        <f>IF(OR(AX$1=Assumptions!$B$115,AX$1=Assumptions!$C$115,AX$1=Assumptions!$D$115,AX$1=Assumptions!$E$115,AX$1=Assumptions!$F$115),Assumptions!$E$12*Assumptions!$C$102/Assumptions!$C$104,0)</f>
        <v>0</v>
      </c>
      <c r="AY40" s="132">
        <f>IF(OR(AY$1=Assumptions!$B$115,AY$1=Assumptions!$C$115,AY$1=Assumptions!$D$115,AY$1=Assumptions!$E$115,AY$1=Assumptions!$F$115),Assumptions!$E$12*Assumptions!$C$102/Assumptions!$C$104,0)</f>
        <v>0</v>
      </c>
      <c r="AZ40" s="132">
        <f>IF(OR(AZ$1=Assumptions!$B$115,AZ$1=Assumptions!$C$115,AZ$1=Assumptions!$D$115,AZ$1=Assumptions!$E$115,AZ$1=Assumptions!$F$115),Assumptions!$E$12*Assumptions!$C$102/Assumptions!$C$104,0)</f>
        <v>0</v>
      </c>
      <c r="BA40" s="132">
        <f>IF(OR(BA$1=Assumptions!$B$115,BA$1=Assumptions!$C$115,BA$1=Assumptions!$D$115,BA$1=Assumptions!$E$115,BA$1=Assumptions!$F$115),Assumptions!$E$12*Assumptions!$C$102/Assumptions!$C$104,0)</f>
        <v>0</v>
      </c>
      <c r="BB40" s="132">
        <f>IF(OR(BB$1=Assumptions!$B$115,BB$1=Assumptions!$C$115,BB$1=Assumptions!$D$115,BB$1=Assumptions!$E$115,BB$1=Assumptions!$F$115),Assumptions!$E$12*Assumptions!$C$102/Assumptions!$C$104,0)</f>
        <v>0</v>
      </c>
      <c r="BC40" s="132">
        <f>IF(OR(BC$1=Assumptions!$B$115,BC$1=Assumptions!$C$115,BC$1=Assumptions!$D$115,BC$1=Assumptions!$E$115,BC$1=Assumptions!$F$115),Assumptions!$E$12*Assumptions!$C$102/Assumptions!$C$104,0)</f>
        <v>0</v>
      </c>
      <c r="BD40" s="132">
        <f>IF(OR(BD$1=Assumptions!$B$115,BD$1=Assumptions!$C$115,BD$1=Assumptions!$D$115,BD$1=Assumptions!$E$115,BD$1=Assumptions!$F$115),Assumptions!$E$12*Assumptions!$C$102/Assumptions!$C$104,0)</f>
        <v>0</v>
      </c>
      <c r="BE40" s="132">
        <f>IF(OR(BE$1=Assumptions!$B$115,BE$1=Assumptions!$C$115,BE$1=Assumptions!$D$115,BE$1=Assumptions!$E$115,BE$1=Assumptions!$F$115),Assumptions!$E$12*Assumptions!$C$102/Assumptions!$C$104,0)</f>
        <v>0</v>
      </c>
      <c r="BF40" s="132">
        <f>IF(OR(BF$1=Assumptions!$B$115,BF$1=Assumptions!$C$115,BF$1=Assumptions!$D$115,BF$1=Assumptions!$E$115,BF$1=Assumptions!$F$115),Assumptions!$E$12*Assumptions!$C$102/Assumptions!$C$104,0)</f>
        <v>0</v>
      </c>
      <c r="BG40" s="132">
        <f>IF(OR(BG$1=Assumptions!$B$115,BG$1=Assumptions!$C$115,BG$1=Assumptions!$D$115,BG$1=Assumptions!$E$115,BG$1=Assumptions!$F$115),Assumptions!$E$12*Assumptions!$C$102/Assumptions!$C$104,0)</f>
        <v>0</v>
      </c>
      <c r="BH40" s="132">
        <f>IF(OR(BH$1=Assumptions!$B$115,BH$1=Assumptions!$C$115,BH$1=Assumptions!$D$115,BH$1=Assumptions!$E$115,BH$1=Assumptions!$F$115),Assumptions!$E$12*Assumptions!$C$102/Assumptions!$C$104,0)</f>
        <v>0</v>
      </c>
      <c r="BI40" s="132">
        <f>IF(OR(BI$1=Assumptions!$B$115,BI$1=Assumptions!$C$115,BI$1=Assumptions!$D$115,BI$1=Assumptions!$E$115,BI$1=Assumptions!$F$115),Assumptions!$E$12*Assumptions!$C$102/Assumptions!$C$104,0)</f>
        <v>0</v>
      </c>
      <c r="BJ40" s="132">
        <f>IF(OR(BJ$1=Assumptions!$B$115,BJ$1=Assumptions!$C$115,BJ$1=Assumptions!$D$115,BJ$1=Assumptions!$E$115,BJ$1=Assumptions!$F$115),Assumptions!$E$12*Assumptions!$C$102/Assumptions!$C$104,0)</f>
        <v>0</v>
      </c>
      <c r="BK40" s="132">
        <f>IF(OR(BK$1=Assumptions!$B$115,BK$1=Assumptions!$C$115,BK$1=Assumptions!$D$115,BK$1=Assumptions!$E$115,BK$1=Assumptions!$F$115),Assumptions!$E$12*Assumptions!$C$102/Assumptions!$C$104,0)</f>
        <v>0</v>
      </c>
      <c r="BL40" s="132">
        <f>IF(OR(BL$1=Assumptions!$B$115,BL$1=Assumptions!$C$115,BL$1=Assumptions!$D$115,BL$1=Assumptions!$E$115,BL$1=Assumptions!$F$115),Assumptions!$E$12*Assumptions!$C$102/Assumptions!$C$104,0)</f>
        <v>0</v>
      </c>
      <c r="BM40" s="132">
        <f>IF(OR(BM$1=Assumptions!$B$115,BM$1=Assumptions!$C$115,BM$1=Assumptions!$D$115,BM$1=Assumptions!$E$115,BM$1=Assumptions!$F$115),Assumptions!$E$12*Assumptions!$C$102/Assumptions!$C$104,0)</f>
        <v>0</v>
      </c>
      <c r="BN40" s="132">
        <f>IF(OR(BN$1=Assumptions!$B$115,BN$1=Assumptions!$C$115,BN$1=Assumptions!$D$115,BN$1=Assumptions!$E$115,BN$1=Assumptions!$F$115),Assumptions!$E$12*Assumptions!$C$102/Assumptions!$C$104,0)</f>
        <v>0</v>
      </c>
      <c r="BO40" s="132">
        <f>IF(OR(BO$1=Assumptions!$B$115,BO$1=Assumptions!$C$115,BO$1=Assumptions!$D$115,BO$1=Assumptions!$E$115,BO$1=Assumptions!$F$115),Assumptions!$E$12*Assumptions!$C$102/Assumptions!$C$104,0)</f>
        <v>0</v>
      </c>
      <c r="BP40" s="132">
        <f>IF(OR(BP$1=Assumptions!$B$115,BP$1=Assumptions!$C$115,BP$1=Assumptions!$D$115,BP$1=Assumptions!$E$115,BP$1=Assumptions!$F$115),Assumptions!$E$12*Assumptions!$C$102/Assumptions!$C$104,0)</f>
        <v>0</v>
      </c>
      <c r="BQ40" s="132">
        <f>IF(OR(BQ$1=Assumptions!$B$115,BQ$1=Assumptions!$C$115,BQ$1=Assumptions!$D$115,BQ$1=Assumptions!$E$115,BQ$1=Assumptions!$F$115),Assumptions!$E$12*Assumptions!$C$102/Assumptions!$C$104,0)</f>
        <v>0</v>
      </c>
      <c r="BR40" s="132">
        <f>IF(OR(BR$1=Assumptions!$B$115,BR$1=Assumptions!$C$115,BR$1=Assumptions!$D$115,BR$1=Assumptions!$E$115,BR$1=Assumptions!$F$115),Assumptions!$E$12*Assumptions!$C$102/Assumptions!$C$104,0)</f>
        <v>0</v>
      </c>
      <c r="BS40" s="132">
        <f>IF(OR(BS$1=Assumptions!$B$115,BS$1=Assumptions!$C$115,BS$1=Assumptions!$D$115,BS$1=Assumptions!$E$115,BS$1=Assumptions!$F$115),Assumptions!$E$12*Assumptions!$C$102/Assumptions!$C$104,0)</f>
        <v>0</v>
      </c>
      <c r="BT40" s="132">
        <f>IF(OR(BT$1=Assumptions!$B$115,BT$1=Assumptions!$C$115,BT$1=Assumptions!$D$115,BT$1=Assumptions!$E$115,BT$1=Assumptions!$F$115),Assumptions!$E$12*Assumptions!$C$102/Assumptions!$C$104,0)</f>
        <v>0</v>
      </c>
      <c r="BU40" s="132">
        <f>IF(OR(BU$1=Assumptions!$B$115,BU$1=Assumptions!$C$115,BU$1=Assumptions!$D$115,BU$1=Assumptions!$E$115,BU$1=Assumptions!$F$115),Assumptions!$E$12*Assumptions!$C$102/Assumptions!$C$104,0)</f>
        <v>0</v>
      </c>
      <c r="BV40" s="132">
        <f>IF(OR(BV$1=Assumptions!$B$115,BV$1=Assumptions!$C$115,BV$1=Assumptions!$D$115,BV$1=Assumptions!$E$115,BV$1=Assumptions!$F$115),Assumptions!$E$12*Assumptions!$C$102/Assumptions!$C$104,0)</f>
        <v>0</v>
      </c>
      <c r="BW40" s="132">
        <f>IF(OR(BW$1=Assumptions!$B$115,BW$1=Assumptions!$C$115,BW$1=Assumptions!$D$115,BW$1=Assumptions!$E$115,BW$1=Assumptions!$F$115),Assumptions!$E$12*Assumptions!$C$102/Assumptions!$C$104,0)</f>
        <v>0</v>
      </c>
      <c r="BX40" s="132">
        <f>IF(OR(BX$1=Assumptions!$B$115,BX$1=Assumptions!$C$115,BX$1=Assumptions!$D$115,BX$1=Assumptions!$E$115,BX$1=Assumptions!$F$115),Assumptions!$E$12*Assumptions!$C$102/Assumptions!$C$104,0)</f>
        <v>0</v>
      </c>
      <c r="BY40" s="132">
        <f>IF(OR(BY$1=Assumptions!$B$115,BY$1=Assumptions!$C$115,BY$1=Assumptions!$D$115,BY$1=Assumptions!$E$115,BY$1=Assumptions!$F$115),Assumptions!$E$12*Assumptions!$C$102/Assumptions!$C$104,0)</f>
        <v>0</v>
      </c>
      <c r="BZ40" s="132">
        <f>IF(OR(BZ$1=Assumptions!$B$115,BZ$1=Assumptions!$C$115,BZ$1=Assumptions!$D$115,BZ$1=Assumptions!$E$115,BZ$1=Assumptions!$F$115),Assumptions!$E$12*Assumptions!$C$102/Assumptions!$C$104,0)</f>
        <v>0</v>
      </c>
      <c r="CA40" s="132">
        <f>IF(OR(CA$1=Assumptions!$B$115,CA$1=Assumptions!$C$115,CA$1=Assumptions!$D$115,CA$1=Assumptions!$E$115,CA$1=Assumptions!$F$115),Assumptions!$E$12*Assumptions!$C$102/Assumptions!$C$104,0)</f>
        <v>0</v>
      </c>
      <c r="CB40" s="132">
        <f>IF(OR(CB$1=Assumptions!$B$115,CB$1=Assumptions!$C$115,CB$1=Assumptions!$D$115,CB$1=Assumptions!$E$115,CB$1=Assumptions!$F$115),Assumptions!$E$12*Assumptions!$C$102/Assumptions!$C$104,0)</f>
        <v>0</v>
      </c>
      <c r="CC40" s="132">
        <f>IF(OR(CC$1=Assumptions!$B$115,CC$1=Assumptions!$C$115,CC$1=Assumptions!$D$115,CC$1=Assumptions!$E$115,CC$1=Assumptions!$F$115),Assumptions!$E$12*Assumptions!$C$102/Assumptions!$C$104,0)</f>
        <v>0</v>
      </c>
      <c r="CD40" s="132">
        <f>IF(OR(CD$1=Assumptions!$B$115,CD$1=Assumptions!$C$115,CD$1=Assumptions!$D$115,CD$1=Assumptions!$E$115,CD$1=Assumptions!$F$115),Assumptions!$E$12*Assumptions!$C$102/Assumptions!$C$104,0)</f>
        <v>0</v>
      </c>
      <c r="CE40" s="132">
        <f>IF(OR(CE$1=Assumptions!$B$115,CE$1=Assumptions!$C$115,CE$1=Assumptions!$D$115,CE$1=Assumptions!$E$115,CE$1=Assumptions!$F$115),Assumptions!$E$12*Assumptions!$C$102/Assumptions!$C$104,0)</f>
        <v>0</v>
      </c>
      <c r="CF40" s="132">
        <f>IF(OR(CF$1=Assumptions!$B$115,CF$1=Assumptions!$C$115,CF$1=Assumptions!$D$115,CF$1=Assumptions!$E$115,CF$1=Assumptions!$F$115),Assumptions!$E$12*Assumptions!$C$102/Assumptions!$C$104,0)</f>
        <v>0</v>
      </c>
      <c r="CG40" s="132">
        <f>IF(OR(CG$1=Assumptions!$B$115,CG$1=Assumptions!$C$115,CG$1=Assumptions!$D$115,CG$1=Assumptions!$E$115,CG$1=Assumptions!$F$115),Assumptions!$E$12*Assumptions!$C$102/Assumptions!$C$104,0)</f>
        <v>0</v>
      </c>
      <c r="CH40" s="132">
        <f>IF(OR(CH$1=Assumptions!$B$115,CH$1=Assumptions!$C$115,CH$1=Assumptions!$D$115,CH$1=Assumptions!$E$115,CH$1=Assumptions!$F$115),Assumptions!$E$12*Assumptions!$C$102/Assumptions!$C$104,0)</f>
        <v>0</v>
      </c>
      <c r="CI40" s="132">
        <f>IF(OR(CI$1=Assumptions!$B$115,CI$1=Assumptions!$C$115,CI$1=Assumptions!$D$115,CI$1=Assumptions!$E$115,CI$1=Assumptions!$F$115),Assumptions!$E$12*Assumptions!$C$102/Assumptions!$C$104,0)</f>
        <v>0</v>
      </c>
      <c r="CJ40" s="132">
        <f>IF(OR(CJ$1=Assumptions!$B$115,CJ$1=Assumptions!$C$115,CJ$1=Assumptions!$D$115,CJ$1=Assumptions!$E$115,CJ$1=Assumptions!$F$115),Assumptions!$E$12*Assumptions!$C$102/Assumptions!$C$104,0)</f>
        <v>0</v>
      </c>
      <c r="CK40" s="132">
        <f>IF(OR(CK$1=Assumptions!$B$115,CK$1=Assumptions!$C$115,CK$1=Assumptions!$D$115,CK$1=Assumptions!$E$115,CK$1=Assumptions!$F$115),Assumptions!$E$12*Assumptions!$C$102/Assumptions!$C$104,0)</f>
        <v>0</v>
      </c>
      <c r="CL40" s="132">
        <f>IF(OR(CL$1=Assumptions!$B$115,CL$1=Assumptions!$C$115,CL$1=Assumptions!$D$115,CL$1=Assumptions!$E$115,CL$1=Assumptions!$F$115),Assumptions!$E$12*Assumptions!$C$102/Assumptions!$C$104,0)</f>
        <v>0</v>
      </c>
      <c r="CM40" s="132">
        <f>IF(OR(CM$1=Assumptions!$B$115,CM$1=Assumptions!$C$115,CM$1=Assumptions!$D$115,CM$1=Assumptions!$E$115,CM$1=Assumptions!$F$115),Assumptions!$E$12*Assumptions!$C$102/Assumptions!$C$104,0)</f>
        <v>0</v>
      </c>
      <c r="CN40" s="132">
        <f>IF(OR(CN$1=Assumptions!$B$115,CN$1=Assumptions!$C$115,CN$1=Assumptions!$D$115,CN$1=Assumptions!$E$115,CN$1=Assumptions!$F$115),Assumptions!$E$12*Assumptions!$C$102/Assumptions!$C$104,0)</f>
        <v>0</v>
      </c>
      <c r="CO40" s="132">
        <f>IF(OR(CO$1=Assumptions!$B$115,CO$1=Assumptions!$C$115,CO$1=Assumptions!$D$115,CO$1=Assumptions!$E$115,CO$1=Assumptions!$F$115),Assumptions!$E$12*Assumptions!$C$102/Assumptions!$C$104,0)</f>
        <v>0</v>
      </c>
      <c r="CP40" s="132">
        <f>IF(OR(CP$1=Assumptions!$B$115,CP$1=Assumptions!$C$115,CP$1=Assumptions!$D$115,CP$1=Assumptions!$E$115,CP$1=Assumptions!$F$115),Assumptions!$E$12*Assumptions!$C$102/Assumptions!$C$104,0)</f>
        <v>0</v>
      </c>
      <c r="CQ40" s="132">
        <f>IF(OR(CQ$1=Assumptions!$B$115,CQ$1=Assumptions!$C$115,CQ$1=Assumptions!$D$115,CQ$1=Assumptions!$E$115,CQ$1=Assumptions!$F$115),Assumptions!$E$12*Assumptions!$C$102/Assumptions!$C$104,0)</f>
        <v>0</v>
      </c>
      <c r="CR40" s="132">
        <f>IF(OR(CR$1=Assumptions!$B$115,CR$1=Assumptions!$C$115,CR$1=Assumptions!$D$115,CR$1=Assumptions!$E$115,CR$1=Assumptions!$F$115),Assumptions!$E$12*Assumptions!$C$102/Assumptions!$C$104,0)</f>
        <v>0</v>
      </c>
      <c r="CS40" s="132">
        <f>IF(OR(CS$1=Assumptions!$B$115,CS$1=Assumptions!$C$115,CS$1=Assumptions!$D$115,CS$1=Assumptions!$E$115,CS$1=Assumptions!$F$115),Assumptions!$E$12*Assumptions!$C$102/Assumptions!$C$104,0)</f>
        <v>0</v>
      </c>
      <c r="CT40" s="132">
        <f>IF(OR(CT$1=Assumptions!$B$115,CT$1=Assumptions!$C$115,CT$1=Assumptions!$D$115,CT$1=Assumptions!$E$115,CT$1=Assumptions!$F$115),Assumptions!$E$12*Assumptions!$C$102/Assumptions!$C$104,0)</f>
        <v>0</v>
      </c>
      <c r="CU40" s="132">
        <f>IF(OR(CU$1=Assumptions!$B$115,CU$1=Assumptions!$C$115,CU$1=Assumptions!$D$115,CU$1=Assumptions!$E$115,CU$1=Assumptions!$F$115),Assumptions!$E$12*Assumptions!$C$102/Assumptions!$C$104,0)</f>
        <v>0</v>
      </c>
      <c r="CV40" s="132">
        <f>IF(OR(CV$1=Assumptions!$B$115,CV$1=Assumptions!$C$115,CV$1=Assumptions!$D$115,CV$1=Assumptions!$E$115,CV$1=Assumptions!$F$115),Assumptions!$E$12*Assumptions!$C$102/Assumptions!$C$104,0)</f>
        <v>0</v>
      </c>
      <c r="CW40" s="132">
        <f>IF(OR(CW$1=Assumptions!$B$115,CW$1=Assumptions!$C$115,CW$1=Assumptions!$D$115,CW$1=Assumptions!$E$115,CW$1=Assumptions!$F$115),Assumptions!$E$12*Assumptions!$C$102/Assumptions!$C$104,0)</f>
        <v>0</v>
      </c>
      <c r="CX40" s="132">
        <f>IF(OR(CX$1=Assumptions!$B$115,CX$1=Assumptions!$C$115,CX$1=Assumptions!$D$115,CX$1=Assumptions!$E$115,CX$1=Assumptions!$F$115),Assumptions!$E$12*Assumptions!$C$102/Assumptions!$C$104,0)</f>
        <v>0</v>
      </c>
      <c r="CY40" s="132">
        <f>IF(OR(CY$1=Assumptions!$B$115,CY$1=Assumptions!$C$115,CY$1=Assumptions!$D$115,CY$1=Assumptions!$E$115,CY$1=Assumptions!$F$115),Assumptions!$E$12*Assumptions!$C$102/Assumptions!$C$104,0)</f>
        <v>0</v>
      </c>
      <c r="CZ40" s="132">
        <f>IF(OR(CZ$1=Assumptions!$B$115,CZ$1=Assumptions!$C$115,CZ$1=Assumptions!$D$115,CZ$1=Assumptions!$E$115,CZ$1=Assumptions!$F$115),Assumptions!$E$12*Assumptions!$C$102/Assumptions!$C$104,0)</f>
        <v>0</v>
      </c>
      <c r="DA40" s="132">
        <f>IF(OR(DA$1=Assumptions!$B$115,DA$1=Assumptions!$C$115,DA$1=Assumptions!$D$115,DA$1=Assumptions!$E$115,DA$1=Assumptions!$F$115),Assumptions!$E$12*Assumptions!$C$102/Assumptions!$C$104,0)</f>
        <v>0</v>
      </c>
      <c r="DB40" s="132">
        <f>IF(OR(DB$1=Assumptions!$B$115,DB$1=Assumptions!$C$115,DB$1=Assumptions!$D$115,DB$1=Assumptions!$E$115,DB$1=Assumptions!$F$115),Assumptions!$E$12*Assumptions!$C$102/Assumptions!$C$104,0)</f>
        <v>0</v>
      </c>
      <c r="DC40" s="132">
        <f>IF(OR(DC$1=Assumptions!$B$115,DC$1=Assumptions!$C$115,DC$1=Assumptions!$D$115,DC$1=Assumptions!$E$115,DC$1=Assumptions!$F$115),Assumptions!$E$12*Assumptions!$C$102/Assumptions!$C$104,0)</f>
        <v>0</v>
      </c>
      <c r="DD40" s="132">
        <f>IF(OR(DD$1=Assumptions!$B$115,DD$1=Assumptions!$C$115,DD$1=Assumptions!$D$115,DD$1=Assumptions!$E$115,DD$1=Assumptions!$F$115),Assumptions!$E$12*Assumptions!$C$102/Assumptions!$C$104,0)</f>
        <v>0</v>
      </c>
      <c r="DE40" s="132">
        <f>IF(OR(DE$1=Assumptions!$B$115,DE$1=Assumptions!$C$115,DE$1=Assumptions!$D$115,DE$1=Assumptions!$E$115,DE$1=Assumptions!$F$115),Assumptions!$E$12*Assumptions!$C$102/Assumptions!$C$104,0)</f>
        <v>0</v>
      </c>
      <c r="DF40" s="132">
        <f>IF(OR(DF$1=Assumptions!$B$115,DF$1=Assumptions!$C$115,DF$1=Assumptions!$D$115,DF$1=Assumptions!$E$115,DF$1=Assumptions!$F$115),Assumptions!$E$12*Assumptions!$C$102/Assumptions!$C$104,0)</f>
        <v>0</v>
      </c>
      <c r="DG40" s="132">
        <f>IF(OR(DG$1=Assumptions!$B$115,DG$1=Assumptions!$C$115,DG$1=Assumptions!$D$115,DG$1=Assumptions!$E$115,DG$1=Assumptions!$F$115),Assumptions!$E$12*Assumptions!$C$102/Assumptions!$C$104,0)</f>
        <v>0</v>
      </c>
      <c r="DH40" s="132">
        <f>IF(OR(DH$1=Assumptions!$B$115,DH$1=Assumptions!$C$115,DH$1=Assumptions!$D$115,DH$1=Assumptions!$E$115,DH$1=Assumptions!$F$115),Assumptions!$E$12*Assumptions!$C$102/Assumptions!$C$104,0)</f>
        <v>0</v>
      </c>
      <c r="DI40" s="132">
        <f>IF(OR(DI$1=Assumptions!$B$115,DI$1=Assumptions!$C$115,DI$1=Assumptions!$D$115,DI$1=Assumptions!$E$115,DI$1=Assumptions!$F$115),Assumptions!$E$12*Assumptions!$C$102/Assumptions!$C$104,0)</f>
        <v>0</v>
      </c>
      <c r="DJ40" s="132">
        <f>IF(OR(DJ$1=Assumptions!$B$115,DJ$1=Assumptions!$C$115,DJ$1=Assumptions!$D$115,DJ$1=Assumptions!$E$115,DJ$1=Assumptions!$F$115),Assumptions!$E$12*Assumptions!$C$102/Assumptions!$C$104,0)</f>
        <v>0</v>
      </c>
      <c r="DK40" s="132">
        <f>IF(OR(DK$1=Assumptions!$B$115,DK$1=Assumptions!$C$115,DK$1=Assumptions!$D$115,DK$1=Assumptions!$E$115,DK$1=Assumptions!$F$115),Assumptions!$E$12*Assumptions!$C$102/Assumptions!$C$104,0)</f>
        <v>0</v>
      </c>
      <c r="DL40" s="132">
        <f>IF(OR(DL$1=Assumptions!$B$115,DL$1=Assumptions!$C$115,DL$1=Assumptions!$D$115,DL$1=Assumptions!$E$115,DL$1=Assumptions!$F$115),Assumptions!$E$12*Assumptions!$C$102/Assumptions!$C$104,0)</f>
        <v>0</v>
      </c>
      <c r="DM40" s="132">
        <f>IF(OR(DM$1=Assumptions!$B$115,DM$1=Assumptions!$C$115,DM$1=Assumptions!$D$115,DM$1=Assumptions!$E$115,DM$1=Assumptions!$F$115),Assumptions!$E$12*Assumptions!$C$102/Assumptions!$C$104,0)</f>
        <v>0</v>
      </c>
      <c r="DN40" s="132">
        <f>IF(OR(DN$1=Assumptions!$B$115,DN$1=Assumptions!$C$115,DN$1=Assumptions!$D$115,DN$1=Assumptions!$E$115,DN$1=Assumptions!$F$115),Assumptions!$E$12*Assumptions!$C$102/Assumptions!$C$104,0)</f>
        <v>0</v>
      </c>
      <c r="DO40" s="132">
        <f>IF(OR(DO$1=Assumptions!$B$115,DO$1=Assumptions!$C$115,DO$1=Assumptions!$D$115,DO$1=Assumptions!$E$115,DO$1=Assumptions!$F$115),Assumptions!$E$12*Assumptions!$C$102/Assumptions!$C$104,0)</f>
        <v>0</v>
      </c>
      <c r="DP40" s="132">
        <f>IF(OR(DP$1=Assumptions!$B$115,DP$1=Assumptions!$C$115,DP$1=Assumptions!$D$115,DP$1=Assumptions!$E$115,DP$1=Assumptions!$F$115),Assumptions!$E$12*Assumptions!$C$102/Assumptions!$C$104,0)</f>
        <v>0</v>
      </c>
      <c r="DQ40" s="132">
        <f>IF(OR(DQ$1=Assumptions!$B$115,DQ$1=Assumptions!$C$115,DQ$1=Assumptions!$D$115,DQ$1=Assumptions!$E$115,DQ$1=Assumptions!$F$115),Assumptions!$E$12*Assumptions!$C$102/Assumptions!$C$104,0)</f>
        <v>0</v>
      </c>
      <c r="DR40" s="132">
        <f>IF(OR(DR$1=Assumptions!$B$115,DR$1=Assumptions!$C$115,DR$1=Assumptions!$D$115,DR$1=Assumptions!$E$115,DR$1=Assumptions!$F$115),Assumptions!$E$12*Assumptions!$C$102/Assumptions!$C$104,0)</f>
        <v>0</v>
      </c>
      <c r="DS40" s="132">
        <f>IF(OR(DS$1=Assumptions!$B$115,DS$1=Assumptions!$C$115,DS$1=Assumptions!$D$115,DS$1=Assumptions!$E$115,DS$1=Assumptions!$F$115),Assumptions!$E$12*Assumptions!$C$102/Assumptions!$C$104,0)</f>
        <v>0</v>
      </c>
      <c r="DT40" s="132">
        <f>IF(OR(DT$1=Assumptions!$B$115,DT$1=Assumptions!$C$115,DT$1=Assumptions!$D$115,DT$1=Assumptions!$E$115,DT$1=Assumptions!$F$115),Assumptions!$E$12*Assumptions!$C$102/Assumptions!$C$104,0)</f>
        <v>0</v>
      </c>
      <c r="DU40" s="132">
        <f>IF(OR(DU$1=Assumptions!$B$115,DU$1=Assumptions!$C$115,DU$1=Assumptions!$D$115,DU$1=Assumptions!$E$115,DU$1=Assumptions!$F$115),Assumptions!$E$12*Assumptions!$C$102/Assumptions!$C$104,0)</f>
        <v>0</v>
      </c>
      <c r="DV40" s="132">
        <f>IF(OR(DV$1=Assumptions!$B$115,DV$1=Assumptions!$C$115,DV$1=Assumptions!$D$115,DV$1=Assumptions!$E$115,DV$1=Assumptions!$F$115),Assumptions!$E$12*Assumptions!$C$102/Assumptions!$C$104,0)</f>
        <v>0</v>
      </c>
      <c r="DW40" s="132">
        <f>IF(OR(DW$1=Assumptions!$B$115,DW$1=Assumptions!$C$115,DW$1=Assumptions!$D$115,DW$1=Assumptions!$E$115,DW$1=Assumptions!$F$115),Assumptions!$E$12*Assumptions!$C$102/Assumptions!$C$104,0)</f>
        <v>0</v>
      </c>
      <c r="DX40" s="132">
        <f>IF(OR(DX$1=Assumptions!$B$115,DX$1=Assumptions!$C$115,DX$1=Assumptions!$D$115,DX$1=Assumptions!$E$115,DX$1=Assumptions!$F$115),Assumptions!$E$12*Assumptions!$C$102/Assumptions!$C$104,0)</f>
        <v>0</v>
      </c>
      <c r="DY40" s="132">
        <f>IF(OR(DY$1=Assumptions!$B$115,DY$1=Assumptions!$C$115,DY$1=Assumptions!$D$115,DY$1=Assumptions!$E$115,DY$1=Assumptions!$F$115),Assumptions!$E$12*Assumptions!$C$102/Assumptions!$C$104,0)</f>
        <v>0</v>
      </c>
      <c r="DZ40" s="132">
        <f>IF(OR(DZ$1=Assumptions!$B$115,DZ$1=Assumptions!$C$115,DZ$1=Assumptions!$D$115,DZ$1=Assumptions!$E$115,DZ$1=Assumptions!$F$115),Assumptions!$E$12*Assumptions!$C$102/Assumptions!$C$104,0)</f>
        <v>0</v>
      </c>
      <c r="EA40" s="132">
        <f>IF(OR(EA$1=Assumptions!$B$115,EA$1=Assumptions!$C$115,EA$1=Assumptions!$D$115,EA$1=Assumptions!$E$115,EA$1=Assumptions!$F$115),Assumptions!$E$12*Assumptions!$C$102/Assumptions!$C$104,0)</f>
        <v>0</v>
      </c>
      <c r="EB40" s="132">
        <f>IF(OR(EB$1=Assumptions!$B$115,EB$1=Assumptions!$C$115,EB$1=Assumptions!$D$115,EB$1=Assumptions!$E$115,EB$1=Assumptions!$F$115),Assumptions!$E$12*Assumptions!$C$102/Assumptions!$C$104,0)</f>
        <v>0</v>
      </c>
      <c r="EC40" s="132">
        <f>IF(OR(EC$1=Assumptions!$B$115,EC$1=Assumptions!$C$115,EC$1=Assumptions!$D$115,EC$1=Assumptions!$E$115,EC$1=Assumptions!$F$115),Assumptions!$E$12*Assumptions!$C$102/Assumptions!$C$104,0)</f>
        <v>0</v>
      </c>
      <c r="ED40" s="132">
        <f>IF(OR(ED$1=Assumptions!$B$115,ED$1=Assumptions!$C$115,ED$1=Assumptions!$D$115,ED$1=Assumptions!$E$115,ED$1=Assumptions!$F$115),Assumptions!$E$12*Assumptions!$C$102/Assumptions!$C$104,0)</f>
        <v>0</v>
      </c>
      <c r="EE40" s="132">
        <f>IF(OR(EE$1=Assumptions!$B$115,EE$1=Assumptions!$C$115,EE$1=Assumptions!$D$115,EE$1=Assumptions!$E$115,EE$1=Assumptions!$F$115),Assumptions!$E$12*Assumptions!$C$102/Assumptions!$C$104,0)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9" t="s">
        <v>85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171</v>
      </c>
      <c r="D43" s="54">
        <f>Assumptions!H42</f>
        <v>3830708.352</v>
      </c>
      <c r="E43" s="54">
        <f t="shared" ref="E43:EE43" si="7">D47</f>
        <v>3830708.352</v>
      </c>
      <c r="F43" s="54">
        <f t="shared" si="7"/>
        <v>3830708.352</v>
      </c>
      <c r="G43" s="54">
        <f t="shared" si="7"/>
        <v>3830708.352</v>
      </c>
      <c r="H43" s="54">
        <f t="shared" si="7"/>
        <v>3830708.352</v>
      </c>
      <c r="I43" s="54">
        <f t="shared" si="7"/>
        <v>3830708.352</v>
      </c>
      <c r="J43" s="54">
        <f t="shared" si="7"/>
        <v>3830708.352</v>
      </c>
      <c r="K43" s="54">
        <f t="shared" si="7"/>
        <v>3830708.352</v>
      </c>
      <c r="L43" s="54">
        <f t="shared" si="7"/>
        <v>3830708.352</v>
      </c>
      <c r="M43" s="54">
        <f t="shared" si="7"/>
        <v>3830708.352</v>
      </c>
      <c r="N43" s="54">
        <f t="shared" si="7"/>
        <v>3830708.352</v>
      </c>
      <c r="O43" s="54">
        <f t="shared" si="7"/>
        <v>3830708.352</v>
      </c>
      <c r="P43" s="54">
        <f t="shared" si="7"/>
        <v>3830708.352</v>
      </c>
      <c r="Q43" s="54">
        <f t="shared" si="7"/>
        <v>3830708.352</v>
      </c>
      <c r="R43" s="54">
        <f t="shared" si="7"/>
        <v>3830708.352</v>
      </c>
      <c r="S43" s="54">
        <f t="shared" si="7"/>
        <v>3830708.352</v>
      </c>
      <c r="T43" s="54">
        <f t="shared" si="7"/>
        <v>3830708.352</v>
      </c>
      <c r="U43" s="54">
        <f t="shared" si="7"/>
        <v>3830708.352</v>
      </c>
      <c r="V43" s="54">
        <f t="shared" si="7"/>
        <v>3830708.352</v>
      </c>
      <c r="W43" s="54">
        <f t="shared" si="7"/>
        <v>3830708.352</v>
      </c>
      <c r="X43" s="54">
        <f t="shared" si="7"/>
        <v>3830708.352</v>
      </c>
      <c r="Y43" s="54">
        <f t="shared" si="7"/>
        <v>3830708.352</v>
      </c>
      <c r="Z43" s="54">
        <f t="shared" si="7"/>
        <v>3830708.352</v>
      </c>
      <c r="AA43" s="54">
        <f t="shared" si="7"/>
        <v>3830708.352</v>
      </c>
      <c r="AB43" s="54">
        <f t="shared" si="7"/>
        <v>3830708.352</v>
      </c>
      <c r="AC43" s="54">
        <f t="shared" si="7"/>
        <v>3830708.352</v>
      </c>
      <c r="AD43" s="54">
        <f t="shared" si="7"/>
        <v>3830708.352</v>
      </c>
      <c r="AE43" s="54">
        <f t="shared" si="7"/>
        <v>3830708.352</v>
      </c>
      <c r="AF43" s="54">
        <f t="shared" si="7"/>
        <v>3830708.352</v>
      </c>
      <c r="AG43" s="54">
        <f t="shared" si="7"/>
        <v>3830708.352</v>
      </c>
      <c r="AH43" s="54">
        <f t="shared" si="7"/>
        <v>3830708.352</v>
      </c>
      <c r="AI43" s="54">
        <f t="shared" si="7"/>
        <v>3830708.352</v>
      </c>
      <c r="AJ43" s="54">
        <f t="shared" si="7"/>
        <v>3830708.352</v>
      </c>
      <c r="AK43" s="54">
        <f t="shared" si="7"/>
        <v>3830708.352</v>
      </c>
      <c r="AL43" s="54">
        <f t="shared" si="7"/>
        <v>3830708.352</v>
      </c>
      <c r="AM43" s="54">
        <f t="shared" si="7"/>
        <v>3830708.352</v>
      </c>
      <c r="AN43" s="54">
        <f t="shared" si="7"/>
        <v>3830708.352</v>
      </c>
      <c r="AO43" s="54">
        <f t="shared" si="7"/>
        <v>3826655.451</v>
      </c>
      <c r="AP43" s="54">
        <f t="shared" si="7"/>
        <v>3822583.366</v>
      </c>
      <c r="AQ43" s="54">
        <f t="shared" si="7"/>
        <v>3818492.007</v>
      </c>
      <c r="AR43" s="54">
        <f t="shared" si="7"/>
        <v>3814381.282</v>
      </c>
      <c r="AS43" s="54">
        <f t="shared" si="7"/>
        <v>3810251.099</v>
      </c>
      <c r="AT43" s="54">
        <f t="shared" si="7"/>
        <v>3806101.367</v>
      </c>
      <c r="AU43" s="54">
        <f t="shared" si="7"/>
        <v>3801931.993</v>
      </c>
      <c r="AV43" s="54">
        <f t="shared" si="7"/>
        <v>3797742.884</v>
      </c>
      <c r="AW43" s="54">
        <f t="shared" si="7"/>
        <v>3793533.947</v>
      </c>
      <c r="AX43" s="54">
        <f t="shared" si="7"/>
        <v>3789305.087</v>
      </c>
      <c r="AY43" s="54">
        <f t="shared" si="7"/>
        <v>3785056.21</v>
      </c>
      <c r="AZ43" s="54">
        <f t="shared" si="7"/>
        <v>3780787.223</v>
      </c>
      <c r="BA43" s="54">
        <f t="shared" si="7"/>
        <v>3776498.028</v>
      </c>
      <c r="BB43" s="54">
        <f t="shared" si="7"/>
        <v>3772188.532</v>
      </c>
      <c r="BC43" s="54">
        <f t="shared" si="7"/>
        <v>3767858.637</v>
      </c>
      <c r="BD43" s="54">
        <f t="shared" si="7"/>
        <v>3763508.247</v>
      </c>
      <c r="BE43" s="54">
        <f t="shared" si="7"/>
        <v>3759137.266</v>
      </c>
      <c r="BF43" s="54">
        <f t="shared" si="7"/>
        <v>3754745.595</v>
      </c>
      <c r="BG43" s="54">
        <f t="shared" si="7"/>
        <v>3750333.137</v>
      </c>
      <c r="BH43" s="54">
        <f t="shared" si="7"/>
        <v>3745899.793</v>
      </c>
      <c r="BI43" s="54">
        <f t="shared" si="7"/>
        <v>3741445.465</v>
      </c>
      <c r="BJ43" s="54">
        <f t="shared" si="7"/>
        <v>3736970.053</v>
      </c>
      <c r="BK43" s="54">
        <f t="shared" si="7"/>
        <v>3732473.457</v>
      </c>
      <c r="BL43" s="54">
        <f t="shared" si="7"/>
        <v>3727955.578</v>
      </c>
      <c r="BM43" s="54">
        <f t="shared" si="7"/>
        <v>3723416.314</v>
      </c>
      <c r="BN43" s="54">
        <f t="shared" si="7"/>
        <v>3718855.564</v>
      </c>
      <c r="BO43" s="54">
        <f t="shared" si="7"/>
        <v>3714273.226</v>
      </c>
      <c r="BP43" s="54">
        <f t="shared" si="7"/>
        <v>3709669.199</v>
      </c>
      <c r="BQ43" s="54">
        <f t="shared" si="7"/>
        <v>3705043.379</v>
      </c>
      <c r="BR43" s="54">
        <f t="shared" si="7"/>
        <v>3700395.664</v>
      </c>
      <c r="BS43" s="54">
        <f t="shared" si="7"/>
        <v>3695725.95</v>
      </c>
      <c r="BT43" s="54">
        <f t="shared" si="7"/>
        <v>3691034.132</v>
      </c>
      <c r="BU43" s="54">
        <f t="shared" si="7"/>
        <v>3686320.106</v>
      </c>
      <c r="BV43" s="54">
        <f t="shared" si="7"/>
        <v>3681583.768</v>
      </c>
      <c r="BW43" s="54">
        <f t="shared" si="7"/>
        <v>3676825.01</v>
      </c>
      <c r="BX43" s="54">
        <f t="shared" si="7"/>
        <v>3672043.728</v>
      </c>
      <c r="BY43" s="54">
        <f t="shared" si="7"/>
        <v>3667239.814</v>
      </c>
      <c r="BZ43" s="54">
        <f t="shared" si="7"/>
        <v>3662413.162</v>
      </c>
      <c r="CA43" s="54">
        <f t="shared" si="7"/>
        <v>3657563.664</v>
      </c>
      <c r="CB43" s="54">
        <f t="shared" si="7"/>
        <v>3652691.212</v>
      </c>
      <c r="CC43" s="54">
        <f t="shared" si="7"/>
        <v>3647795.696</v>
      </c>
      <c r="CD43" s="54">
        <f t="shared" si="7"/>
        <v>3642877.009</v>
      </c>
      <c r="CE43" s="54">
        <f t="shared" si="7"/>
        <v>3637935.039</v>
      </c>
      <c r="CF43" s="54">
        <f t="shared" si="7"/>
        <v>3632969.678</v>
      </c>
      <c r="CG43" s="54">
        <f t="shared" si="7"/>
        <v>3627980.814</v>
      </c>
      <c r="CH43" s="54">
        <f t="shared" si="7"/>
        <v>3622968.336</v>
      </c>
      <c r="CI43" s="54">
        <f t="shared" si="7"/>
        <v>3617932.132</v>
      </c>
      <c r="CJ43" s="54">
        <f t="shared" si="7"/>
        <v>3612872.09</v>
      </c>
      <c r="CK43" s="54">
        <f t="shared" si="7"/>
        <v>3607788.098</v>
      </c>
      <c r="CL43" s="54">
        <f t="shared" si="7"/>
        <v>3602680.041</v>
      </c>
      <c r="CM43" s="54">
        <f t="shared" si="7"/>
        <v>3597547.806</v>
      </c>
      <c r="CN43" s="54">
        <f t="shared" si="7"/>
        <v>3592391.278</v>
      </c>
      <c r="CO43" s="54">
        <f t="shared" si="7"/>
        <v>3587210.343</v>
      </c>
      <c r="CP43" s="54">
        <f t="shared" si="7"/>
        <v>3582004.885</v>
      </c>
      <c r="CQ43" s="54">
        <f t="shared" si="7"/>
        <v>3576774.787</v>
      </c>
      <c r="CR43" s="54">
        <f t="shared" si="7"/>
        <v>3571519.934</v>
      </c>
      <c r="CS43" s="54">
        <f t="shared" si="7"/>
        <v>3566240.208</v>
      </c>
      <c r="CT43" s="54">
        <f t="shared" si="7"/>
        <v>3560935.491</v>
      </c>
      <c r="CU43" s="54">
        <f t="shared" si="7"/>
        <v>3555605.665</v>
      </c>
      <c r="CV43" s="54">
        <f t="shared" si="7"/>
        <v>3550250.611</v>
      </c>
      <c r="CW43" s="54">
        <f t="shared" si="7"/>
        <v>3544870.21</v>
      </c>
      <c r="CX43" s="54">
        <f t="shared" si="7"/>
        <v>3539464.342</v>
      </c>
      <c r="CY43" s="54">
        <f t="shared" si="7"/>
        <v>3534032.886</v>
      </c>
      <c r="CZ43" s="54">
        <f t="shared" si="7"/>
        <v>3528575.721</v>
      </c>
      <c r="DA43" s="54">
        <f t="shared" si="7"/>
        <v>3523092.726</v>
      </c>
      <c r="DB43" s="54">
        <f t="shared" si="7"/>
        <v>3517583.778</v>
      </c>
      <c r="DC43" s="54">
        <f t="shared" si="7"/>
        <v>3512048.754</v>
      </c>
      <c r="DD43" s="54">
        <f t="shared" si="7"/>
        <v>3506487.53</v>
      </c>
      <c r="DE43" s="54">
        <f t="shared" si="7"/>
        <v>3500899.984</v>
      </c>
      <c r="DF43" s="54">
        <f t="shared" si="7"/>
        <v>3495285.99</v>
      </c>
      <c r="DG43" s="54">
        <f t="shared" si="7"/>
        <v>3489645.423</v>
      </c>
      <c r="DH43" s="54">
        <f t="shared" si="7"/>
        <v>3483978.158</v>
      </c>
      <c r="DI43" s="54">
        <f t="shared" si="7"/>
        <v>3478284.067</v>
      </c>
      <c r="DJ43" s="54">
        <f t="shared" si="7"/>
        <v>3472563.025</v>
      </c>
      <c r="DK43" s="54">
        <f t="shared" si="7"/>
        <v>3466814.903</v>
      </c>
      <c r="DL43" s="54">
        <f t="shared" si="7"/>
        <v>3461039.573</v>
      </c>
      <c r="DM43" s="54">
        <f t="shared" si="7"/>
        <v>3455236.906</v>
      </c>
      <c r="DN43" s="54">
        <f t="shared" si="7"/>
        <v>3449406.773</v>
      </c>
      <c r="DO43" s="54">
        <f t="shared" si="7"/>
        <v>3443549.045</v>
      </c>
      <c r="DP43" s="54">
        <f t="shared" si="7"/>
        <v>3437663.59</v>
      </c>
      <c r="DQ43" s="54">
        <f t="shared" si="7"/>
        <v>3431750.277</v>
      </c>
      <c r="DR43" s="54">
        <f t="shared" si="7"/>
        <v>3425808.974</v>
      </c>
      <c r="DS43" s="54">
        <f t="shared" si="7"/>
        <v>3419839.55</v>
      </c>
      <c r="DT43" s="54">
        <f t="shared" si="7"/>
        <v>3413841.87</v>
      </c>
      <c r="DU43" s="54">
        <f t="shared" si="7"/>
        <v>3407815.801</v>
      </c>
      <c r="DV43" s="54">
        <f t="shared" si="7"/>
        <v>3401761.208</v>
      </c>
      <c r="DW43" s="54">
        <f t="shared" si="7"/>
        <v>3395677.957</v>
      </c>
      <c r="DX43" s="54">
        <f t="shared" si="7"/>
        <v>3389565.913</v>
      </c>
      <c r="DY43" s="54">
        <f t="shared" si="7"/>
        <v>3383424.937</v>
      </c>
      <c r="DZ43" s="54">
        <f t="shared" si="7"/>
        <v>3377254.895</v>
      </c>
      <c r="EA43" s="54">
        <f t="shared" si="7"/>
        <v>3371055.648</v>
      </c>
      <c r="EB43" s="54">
        <f t="shared" si="7"/>
        <v>3364827.057</v>
      </c>
      <c r="EC43" s="54">
        <f t="shared" si="7"/>
        <v>3358568.985</v>
      </c>
      <c r="ED43" s="54">
        <f t="shared" si="7"/>
        <v>3352281.291</v>
      </c>
      <c r="EE43" s="54">
        <f t="shared" si="7"/>
        <v>3345963.835</v>
      </c>
    </row>
    <row r="44" ht="15.75" customHeight="1">
      <c r="A44" s="1"/>
      <c r="B44" s="1"/>
      <c r="C44" s="1" t="s">
        <v>172</v>
      </c>
      <c r="D44" s="54">
        <f>(D43*Assumptions!$H44/12)*IF(D1&gt;Assumptions!$H$47,1,0)</f>
        <v>0</v>
      </c>
      <c r="E44" s="54">
        <f>(E43*Assumptions!$H44/12)*IF(E1&gt;Assumptions!$H$47,1,0)</f>
        <v>0</v>
      </c>
      <c r="F44" s="54">
        <f>(F43*Assumptions!$H44/12)*IF(F1&gt;Assumptions!$H$47,1,0)</f>
        <v>0</v>
      </c>
      <c r="G44" s="54">
        <f>(G43*Assumptions!$H44/12)*IF(G1&gt;Assumptions!$H$47,1,0)</f>
        <v>0</v>
      </c>
      <c r="H44" s="54">
        <f>(H43*Assumptions!$H44/12)*IF(H1&gt;Assumptions!$H$47,1,0)</f>
        <v>0</v>
      </c>
      <c r="I44" s="54">
        <f>(I43*Assumptions!$H44/12)*IF(I1&gt;Assumptions!$H$47,1,0)</f>
        <v>0</v>
      </c>
      <c r="J44" s="54">
        <f>(J43*Assumptions!$H44/12)*IF(J1&gt;Assumptions!$H$47,1,0)</f>
        <v>0</v>
      </c>
      <c r="K44" s="54">
        <f>(K43*Assumptions!$H44/12)*IF(K1&gt;Assumptions!$H$47,1,0)</f>
        <v>0</v>
      </c>
      <c r="L44" s="54">
        <f>(L43*Assumptions!$H44/12)*IF(L1&gt;Assumptions!$H$47,1,0)</f>
        <v>0</v>
      </c>
      <c r="M44" s="54">
        <f>(M43*Assumptions!$H44/12)*IF(M1&gt;Assumptions!$H$47,1,0)</f>
        <v>0</v>
      </c>
      <c r="N44" s="54">
        <f>(N43*Assumptions!$H44/12)*IF(N1&gt;Assumptions!$H$47,1,0)</f>
        <v>0</v>
      </c>
      <c r="O44" s="54">
        <f>(O43*Assumptions!$H44/12)*IF(O1&gt;Assumptions!$H$47,1,0)</f>
        <v>0</v>
      </c>
      <c r="P44" s="54">
        <f>(P43*Assumptions!$H44/12)*IF(P1&gt;Assumptions!$H$47,1,0)</f>
        <v>0</v>
      </c>
      <c r="Q44" s="54">
        <f>(Q43*Assumptions!$H44/12)*IF(Q1&gt;Assumptions!$H$47,1,0)</f>
        <v>0</v>
      </c>
      <c r="R44" s="54">
        <f>(R43*Assumptions!$H44/12)*IF(R1&gt;Assumptions!$H$47,1,0)</f>
        <v>0</v>
      </c>
      <c r="S44" s="54">
        <f>(S43*Assumptions!$H44/12)*IF(S1&gt;Assumptions!$H$47,1,0)</f>
        <v>0</v>
      </c>
      <c r="T44" s="54">
        <f>(T43*Assumptions!$H44/12)*IF(T1&gt;Assumptions!$H$47,1,0)</f>
        <v>0</v>
      </c>
      <c r="U44" s="54">
        <f>(U43*Assumptions!$H44/12)*IF(U1&gt;Assumptions!$H$47,1,0)</f>
        <v>0</v>
      </c>
      <c r="V44" s="54">
        <f>(V43*Assumptions!$H44/12)*IF(V1&gt;Assumptions!$H$47,1,0)</f>
        <v>0</v>
      </c>
      <c r="W44" s="54">
        <f>(W43*Assumptions!$H44/12)*IF(W1&gt;Assumptions!$H$47,1,0)</f>
        <v>0</v>
      </c>
      <c r="X44" s="54">
        <f>(X43*Assumptions!$H44/12)*IF(X1&gt;Assumptions!$H$47,1,0)</f>
        <v>0</v>
      </c>
      <c r="Y44" s="54">
        <f>(Y43*Assumptions!$H44/12)*IF(Y1&gt;Assumptions!$H$47,1,0)</f>
        <v>0</v>
      </c>
      <c r="Z44" s="54">
        <f>(Z43*Assumptions!$H44/12)*IF(Z1&gt;Assumptions!$H$47,1,0)</f>
        <v>0</v>
      </c>
      <c r="AA44" s="54">
        <f>(AA43*Assumptions!$H44/12)*IF(AA1&gt;Assumptions!$H$47,1,0)</f>
        <v>0</v>
      </c>
      <c r="AB44" s="54">
        <f>(AB43*Assumptions!$H44/12)*IF(AB1&gt;Assumptions!$H$47,1,0)</f>
        <v>0</v>
      </c>
      <c r="AC44" s="54">
        <f>(AC43*Assumptions!$H44/12)*IF(AC1&gt;Assumptions!$H$47,1,0)</f>
        <v>0</v>
      </c>
      <c r="AD44" s="54">
        <f>(AD43*Assumptions!$H44/12)*IF(AD1&gt;Assumptions!$H$47,1,0)</f>
        <v>0</v>
      </c>
      <c r="AE44" s="54">
        <f>(AE43*Assumptions!$H44/12)*IF(AE1&gt;Assumptions!$H$47,1,0)</f>
        <v>0</v>
      </c>
      <c r="AF44" s="54">
        <f>(AF43*Assumptions!$H44/12)*IF(AF1&gt;Assumptions!$H$47,1,0)</f>
        <v>0</v>
      </c>
      <c r="AG44" s="54">
        <f>(AG43*Assumptions!$H44/12)*IF(AG1&gt;Assumptions!$H$47,1,0)</f>
        <v>0</v>
      </c>
      <c r="AH44" s="54">
        <f>(AH43*Assumptions!$H44/12)*IF(AH1&gt;Assumptions!$H$47,1,0)</f>
        <v>0</v>
      </c>
      <c r="AI44" s="54">
        <f>(AI43*Assumptions!$H44/12)*IF(AI1&gt;Assumptions!$H$47,1,0)</f>
        <v>0</v>
      </c>
      <c r="AJ44" s="54">
        <f>(AJ43*Assumptions!$H44/12)*IF(AJ1&gt;Assumptions!$H$47,1,0)</f>
        <v>0</v>
      </c>
      <c r="AK44" s="54">
        <f>(AK43*Assumptions!$H44/12)*IF(AK1&gt;Assumptions!$H$47,1,0)</f>
        <v>0</v>
      </c>
      <c r="AL44" s="54">
        <f>(AL43*Assumptions!$H44/12)*IF(AL1&gt;Assumptions!$H$47,1,0)</f>
        <v>0</v>
      </c>
      <c r="AM44" s="54">
        <f>(AM43*Assumptions!$H44/12)*IF(AM1&gt;Assumptions!$H$47,1,0)</f>
        <v>0</v>
      </c>
      <c r="AN44" s="54">
        <f>(AN43*Assumptions!$H44/12)*IF(AN1&gt;Assumptions!$H$47,1,0)</f>
        <v>18132.01953</v>
      </c>
      <c r="AO44" s="54">
        <f>(AO43*Assumptions!$H44/12)*IF(AO1&gt;Assumptions!$H$47,1,0)</f>
        <v>18112.8358</v>
      </c>
      <c r="AP44" s="54">
        <f>(AP43*Assumptions!$H44/12)*IF(AP1&gt;Assumptions!$H$47,1,0)</f>
        <v>18093.56127</v>
      </c>
      <c r="AQ44" s="54">
        <f>(AQ43*Assumptions!$H44/12)*IF(AQ1&gt;Assumptions!$H$47,1,0)</f>
        <v>18074.1955</v>
      </c>
      <c r="AR44" s="54">
        <f>(AR43*Assumptions!$H44/12)*IF(AR1&gt;Assumptions!$H$47,1,0)</f>
        <v>18054.73807</v>
      </c>
      <c r="AS44" s="54">
        <f>(AS43*Assumptions!$H44/12)*IF(AS1&gt;Assumptions!$H$47,1,0)</f>
        <v>18035.18854</v>
      </c>
      <c r="AT44" s="54">
        <f>(AT43*Assumptions!$H44/12)*IF(AT1&gt;Assumptions!$H$47,1,0)</f>
        <v>18015.54647</v>
      </c>
      <c r="AU44" s="54">
        <f>(AU43*Assumptions!$H44/12)*IF(AU1&gt;Assumptions!$H$47,1,0)</f>
        <v>17995.81143</v>
      </c>
      <c r="AV44" s="54">
        <f>(AV43*Assumptions!$H44/12)*IF(AV1&gt;Assumptions!$H$47,1,0)</f>
        <v>17975.98299</v>
      </c>
      <c r="AW44" s="54">
        <f>(AW43*Assumptions!$H44/12)*IF(AW1&gt;Assumptions!$H$47,1,0)</f>
        <v>17956.06068</v>
      </c>
      <c r="AX44" s="54">
        <f>(AX43*Assumptions!$H44/12)*IF(AX1&gt;Assumptions!$H$47,1,0)</f>
        <v>17936.04408</v>
      </c>
      <c r="AY44" s="54">
        <f>(AY43*Assumptions!$H44/12)*IF(AY1&gt;Assumptions!$H$47,1,0)</f>
        <v>17915.93273</v>
      </c>
      <c r="AZ44" s="54">
        <f>(AZ43*Assumptions!$H44/12)*IF(AZ1&gt;Assumptions!$H$47,1,0)</f>
        <v>17895.72619</v>
      </c>
      <c r="BA44" s="54">
        <f>(BA43*Assumptions!$H44/12)*IF(BA1&gt;Assumptions!$H$47,1,0)</f>
        <v>17875.424</v>
      </c>
      <c r="BB44" s="54">
        <f>(BB43*Assumptions!$H44/12)*IF(BB1&gt;Assumptions!$H$47,1,0)</f>
        <v>17855.02572</v>
      </c>
      <c r="BC44" s="54">
        <f>(BC43*Assumptions!$H44/12)*IF(BC1&gt;Assumptions!$H$47,1,0)</f>
        <v>17834.53088</v>
      </c>
      <c r="BD44" s="54">
        <f>(BD43*Assumptions!$H44/12)*IF(BD1&gt;Assumptions!$H$47,1,0)</f>
        <v>17813.93904</v>
      </c>
      <c r="BE44" s="54">
        <f>(BE43*Assumptions!$H44/12)*IF(BE1&gt;Assumptions!$H$47,1,0)</f>
        <v>17793.24972</v>
      </c>
      <c r="BF44" s="54">
        <f>(BF43*Assumptions!$H44/12)*IF(BF1&gt;Assumptions!$H$47,1,0)</f>
        <v>17772.46248</v>
      </c>
      <c r="BG44" s="54">
        <f>(BG43*Assumptions!$H44/12)*IF(BG1&gt;Assumptions!$H$47,1,0)</f>
        <v>17751.57685</v>
      </c>
      <c r="BH44" s="54">
        <f>(BH43*Assumptions!$H44/12)*IF(BH1&gt;Assumptions!$H$47,1,0)</f>
        <v>17730.59235</v>
      </c>
      <c r="BI44" s="54">
        <f>(BI43*Assumptions!$H44/12)*IF(BI1&gt;Assumptions!$H$47,1,0)</f>
        <v>17709.50853</v>
      </c>
      <c r="BJ44" s="54">
        <f>(BJ43*Assumptions!$H44/12)*IF(BJ1&gt;Assumptions!$H$47,1,0)</f>
        <v>17688.32492</v>
      </c>
      <c r="BK44" s="54">
        <f>(BK43*Assumptions!$H44/12)*IF(BK1&gt;Assumptions!$H$47,1,0)</f>
        <v>17667.04103</v>
      </c>
      <c r="BL44" s="54">
        <f>(BL43*Assumptions!$H44/12)*IF(BL1&gt;Assumptions!$H$47,1,0)</f>
        <v>17645.6564</v>
      </c>
      <c r="BM44" s="54">
        <f>(BM43*Assumptions!$H44/12)*IF(BM1&gt;Assumptions!$H$47,1,0)</f>
        <v>17624.17055</v>
      </c>
      <c r="BN44" s="54">
        <f>(BN43*Assumptions!$H44/12)*IF(BN1&gt;Assumptions!$H$47,1,0)</f>
        <v>17602.583</v>
      </c>
      <c r="BO44" s="54">
        <f>(BO43*Assumptions!$H44/12)*IF(BO1&gt;Assumptions!$H$47,1,0)</f>
        <v>17580.89327</v>
      </c>
      <c r="BP44" s="54">
        <f>(BP43*Assumptions!$H44/12)*IF(BP1&gt;Assumptions!$H$47,1,0)</f>
        <v>17559.10087</v>
      </c>
      <c r="BQ44" s="54">
        <f>(BQ43*Assumptions!$H44/12)*IF(BQ1&gt;Assumptions!$H$47,1,0)</f>
        <v>17537.20533</v>
      </c>
      <c r="BR44" s="54">
        <f>(BR43*Assumptions!$H44/12)*IF(BR1&gt;Assumptions!$H$47,1,0)</f>
        <v>17515.20614</v>
      </c>
      <c r="BS44" s="54">
        <f>(BS43*Assumptions!$H44/12)*IF(BS1&gt;Assumptions!$H$47,1,0)</f>
        <v>17493.10283</v>
      </c>
      <c r="BT44" s="54">
        <f>(BT43*Assumptions!$H44/12)*IF(BT1&gt;Assumptions!$H$47,1,0)</f>
        <v>17470.89489</v>
      </c>
      <c r="BU44" s="54">
        <f>(BU43*Assumptions!$H44/12)*IF(BU1&gt;Assumptions!$H$47,1,0)</f>
        <v>17448.58184</v>
      </c>
      <c r="BV44" s="54">
        <f>(BV43*Assumptions!$H44/12)*IF(BV1&gt;Assumptions!$H$47,1,0)</f>
        <v>17426.16317</v>
      </c>
      <c r="BW44" s="54">
        <f>(BW43*Assumptions!$H44/12)*IF(BW1&gt;Assumptions!$H$47,1,0)</f>
        <v>17403.63838</v>
      </c>
      <c r="BX44" s="54">
        <f>(BX43*Assumptions!$H44/12)*IF(BX1&gt;Assumptions!$H$47,1,0)</f>
        <v>17381.00698</v>
      </c>
      <c r="BY44" s="54">
        <f>(BY43*Assumptions!$H44/12)*IF(BY1&gt;Assumptions!$H$47,1,0)</f>
        <v>17358.26845</v>
      </c>
      <c r="BZ44" s="54">
        <f>(BZ43*Assumptions!$H44/12)*IF(BZ1&gt;Assumptions!$H$47,1,0)</f>
        <v>17335.4223</v>
      </c>
      <c r="CA44" s="54">
        <f>(CA43*Assumptions!$H44/12)*IF(CA1&gt;Assumptions!$H$47,1,0)</f>
        <v>17312.46801</v>
      </c>
      <c r="CB44" s="54">
        <f>(CB43*Assumptions!$H44/12)*IF(CB1&gt;Assumptions!$H$47,1,0)</f>
        <v>17289.40507</v>
      </c>
      <c r="CC44" s="54">
        <f>(CC43*Assumptions!$H44/12)*IF(CC1&gt;Assumptions!$H$47,1,0)</f>
        <v>17266.23296</v>
      </c>
      <c r="CD44" s="54">
        <f>(CD43*Assumptions!$H44/12)*IF(CD1&gt;Assumptions!$H$47,1,0)</f>
        <v>17242.95117</v>
      </c>
      <c r="CE44" s="54">
        <f>(CE43*Assumptions!$H44/12)*IF(CE1&gt;Assumptions!$H$47,1,0)</f>
        <v>17219.55919</v>
      </c>
      <c r="CF44" s="54">
        <f>(CF43*Assumptions!$H44/12)*IF(CF1&gt;Assumptions!$H$47,1,0)</f>
        <v>17196.05648</v>
      </c>
      <c r="CG44" s="54">
        <f>(CG43*Assumptions!$H44/12)*IF(CG1&gt;Assumptions!$H$47,1,0)</f>
        <v>17172.44252</v>
      </c>
      <c r="CH44" s="54">
        <f>(CH43*Assumptions!$H44/12)*IF(CH1&gt;Assumptions!$H$47,1,0)</f>
        <v>17148.71679</v>
      </c>
      <c r="CI44" s="54">
        <f>(CI43*Assumptions!$H44/12)*IF(CI1&gt;Assumptions!$H$47,1,0)</f>
        <v>17124.87876</v>
      </c>
      <c r="CJ44" s="54">
        <f>(CJ43*Assumptions!$H44/12)*IF(CJ1&gt;Assumptions!$H$47,1,0)</f>
        <v>17100.92789</v>
      </c>
      <c r="CK44" s="54">
        <f>(CK43*Assumptions!$H44/12)*IF(CK1&gt;Assumptions!$H$47,1,0)</f>
        <v>17076.86366</v>
      </c>
      <c r="CL44" s="54">
        <f>(CL43*Assumptions!$H44/12)*IF(CL1&gt;Assumptions!$H$47,1,0)</f>
        <v>17052.68553</v>
      </c>
      <c r="CM44" s="54">
        <f>(CM43*Assumptions!$H44/12)*IF(CM1&gt;Assumptions!$H$47,1,0)</f>
        <v>17028.39295</v>
      </c>
      <c r="CN44" s="54">
        <f>(CN43*Assumptions!$H44/12)*IF(CN1&gt;Assumptions!$H$47,1,0)</f>
        <v>17003.98538</v>
      </c>
      <c r="CO44" s="54">
        <f>(CO43*Assumptions!$H44/12)*IF(CO1&gt;Assumptions!$H$47,1,0)</f>
        <v>16979.46229</v>
      </c>
      <c r="CP44" s="54">
        <f>(CP43*Assumptions!$H44/12)*IF(CP1&gt;Assumptions!$H$47,1,0)</f>
        <v>16954.82312</v>
      </c>
      <c r="CQ44" s="54">
        <f>(CQ43*Assumptions!$H44/12)*IF(CQ1&gt;Assumptions!$H$47,1,0)</f>
        <v>16930.06733</v>
      </c>
      <c r="CR44" s="54">
        <f>(CR43*Assumptions!$H44/12)*IF(CR1&gt;Assumptions!$H$47,1,0)</f>
        <v>16905.19435</v>
      </c>
      <c r="CS44" s="54">
        <f>(CS43*Assumptions!$H44/12)*IF(CS1&gt;Assumptions!$H$47,1,0)</f>
        <v>16880.20365</v>
      </c>
      <c r="CT44" s="54">
        <f>(CT43*Assumptions!$H44/12)*IF(CT1&gt;Assumptions!$H$47,1,0)</f>
        <v>16855.09466</v>
      </c>
      <c r="CU44" s="54">
        <f>(CU43*Assumptions!$H44/12)*IF(CU1&gt;Assumptions!$H$47,1,0)</f>
        <v>16829.86681</v>
      </c>
      <c r="CV44" s="54">
        <f>(CV43*Assumptions!$H44/12)*IF(CV1&gt;Assumptions!$H$47,1,0)</f>
        <v>16804.51956</v>
      </c>
      <c r="CW44" s="54">
        <f>(CW43*Assumptions!$H44/12)*IF(CW1&gt;Assumptions!$H$47,1,0)</f>
        <v>16779.05233</v>
      </c>
      <c r="CX44" s="54">
        <f>(CX43*Assumptions!$H44/12)*IF(CX1&gt;Assumptions!$H$47,1,0)</f>
        <v>16753.46455</v>
      </c>
      <c r="CY44" s="54">
        <f>(CY43*Assumptions!$H44/12)*IF(CY1&gt;Assumptions!$H$47,1,0)</f>
        <v>16727.75566</v>
      </c>
      <c r="CZ44" s="54">
        <f>(CZ43*Assumptions!$H44/12)*IF(CZ1&gt;Assumptions!$H$47,1,0)</f>
        <v>16701.92508</v>
      </c>
      <c r="DA44" s="54">
        <f>(DA43*Assumptions!$H44/12)*IF(DA1&gt;Assumptions!$H$47,1,0)</f>
        <v>16675.97224</v>
      </c>
      <c r="DB44" s="54">
        <f>(DB43*Assumptions!$H44/12)*IF(DB1&gt;Assumptions!$H$47,1,0)</f>
        <v>16649.89655</v>
      </c>
      <c r="DC44" s="54">
        <f>(DC43*Assumptions!$H44/12)*IF(DC1&gt;Assumptions!$H$47,1,0)</f>
        <v>16623.69743</v>
      </c>
      <c r="DD44" s="54">
        <f>(DD43*Assumptions!$H44/12)*IF(DD1&gt;Assumptions!$H$47,1,0)</f>
        <v>16597.37431</v>
      </c>
      <c r="DE44" s="54">
        <f>(DE43*Assumptions!$H44/12)*IF(DE1&gt;Assumptions!$H$47,1,0)</f>
        <v>16570.92659</v>
      </c>
      <c r="DF44" s="54">
        <f>(DF43*Assumptions!$H44/12)*IF(DF1&gt;Assumptions!$H$47,1,0)</f>
        <v>16544.35369</v>
      </c>
      <c r="DG44" s="54">
        <f>(DG43*Assumptions!$H44/12)*IF(DG1&gt;Assumptions!$H$47,1,0)</f>
        <v>16517.655</v>
      </c>
      <c r="DH44" s="54">
        <f>(DH43*Assumptions!$H44/12)*IF(DH1&gt;Assumptions!$H$47,1,0)</f>
        <v>16490.82995</v>
      </c>
      <c r="DI44" s="54">
        <f>(DI43*Assumptions!$H44/12)*IF(DI1&gt;Assumptions!$H$47,1,0)</f>
        <v>16463.87792</v>
      </c>
      <c r="DJ44" s="54">
        <f>(DJ43*Assumptions!$H44/12)*IF(DJ1&gt;Assumptions!$H$47,1,0)</f>
        <v>16436.79832</v>
      </c>
      <c r="DK44" s="54">
        <f>(DK43*Assumptions!$H44/12)*IF(DK1&gt;Assumptions!$H$47,1,0)</f>
        <v>16409.59054</v>
      </c>
      <c r="DL44" s="54">
        <f>(DL43*Assumptions!$H44/12)*IF(DL1&gt;Assumptions!$H$47,1,0)</f>
        <v>16382.25398</v>
      </c>
      <c r="DM44" s="54">
        <f>(DM43*Assumptions!$H44/12)*IF(DM1&gt;Assumptions!$H$47,1,0)</f>
        <v>16354.78802</v>
      </c>
      <c r="DN44" s="54">
        <f>(DN43*Assumptions!$H44/12)*IF(DN1&gt;Assumptions!$H$47,1,0)</f>
        <v>16327.19206</v>
      </c>
      <c r="DO44" s="54">
        <f>(DO43*Assumptions!$H44/12)*IF(DO1&gt;Assumptions!$H$47,1,0)</f>
        <v>16299.46548</v>
      </c>
      <c r="DP44" s="54">
        <f>(DP43*Assumptions!$H44/12)*IF(DP1&gt;Assumptions!$H$47,1,0)</f>
        <v>16271.60766</v>
      </c>
      <c r="DQ44" s="54">
        <f>(DQ43*Assumptions!$H44/12)*IF(DQ1&gt;Assumptions!$H$47,1,0)</f>
        <v>16243.61798</v>
      </c>
      <c r="DR44" s="54">
        <f>(DR43*Assumptions!$H44/12)*IF(DR1&gt;Assumptions!$H$47,1,0)</f>
        <v>16215.49581</v>
      </c>
      <c r="DS44" s="54">
        <f>(DS43*Assumptions!$H44/12)*IF(DS1&gt;Assumptions!$H$47,1,0)</f>
        <v>16187.24054</v>
      </c>
      <c r="DT44" s="54">
        <f>(DT43*Assumptions!$H44/12)*IF(DT1&gt;Assumptions!$H$47,1,0)</f>
        <v>16158.85152</v>
      </c>
      <c r="DU44" s="54">
        <f>(DU43*Assumptions!$H44/12)*IF(DU1&gt;Assumptions!$H$47,1,0)</f>
        <v>16130.32812</v>
      </c>
      <c r="DV44" s="54">
        <f>(DV43*Assumptions!$H44/12)*IF(DV1&gt;Assumptions!$H$47,1,0)</f>
        <v>16101.66972</v>
      </c>
      <c r="DW44" s="54">
        <f>(DW43*Assumptions!$H44/12)*IF(DW1&gt;Assumptions!$H$47,1,0)</f>
        <v>16072.87567</v>
      </c>
      <c r="DX44" s="54">
        <f>(DX43*Assumptions!$H44/12)*IF(DX1&gt;Assumptions!$H$47,1,0)</f>
        <v>16043.94532</v>
      </c>
      <c r="DY44" s="54">
        <f>(DY43*Assumptions!$H44/12)*IF(DY1&gt;Assumptions!$H$47,1,0)</f>
        <v>16014.87804</v>
      </c>
      <c r="DZ44" s="54">
        <f>(DZ43*Assumptions!$H44/12)*IF(DZ1&gt;Assumptions!$H$47,1,0)</f>
        <v>15985.67317</v>
      </c>
      <c r="EA44" s="54">
        <f>(EA43*Assumptions!$H44/12)*IF(EA1&gt;Assumptions!$H$47,1,0)</f>
        <v>15956.33006</v>
      </c>
      <c r="EB44" s="54">
        <f>(EB43*Assumptions!$H44/12)*IF(EB1&gt;Assumptions!$H$47,1,0)</f>
        <v>15926.84807</v>
      </c>
      <c r="EC44" s="54">
        <f>(EC43*Assumptions!$H44/12)*IF(EC1&gt;Assumptions!$H$47,1,0)</f>
        <v>15897.22653</v>
      </c>
      <c r="ED44" s="54">
        <f>(ED43*Assumptions!$H44/12)*IF(ED1&gt;Assumptions!$H$47,1,0)</f>
        <v>15867.46478</v>
      </c>
      <c r="EE44" s="54">
        <f>(EE43*Assumptions!$H44/12)*IF(EE1&gt;Assumptions!$H$47,1,0)</f>
        <v>15837.56215</v>
      </c>
    </row>
    <row r="45" ht="15.75" customHeight="1">
      <c r="A45" s="1"/>
      <c r="B45" s="1"/>
      <c r="C45" s="1" t="s">
        <v>196</v>
      </c>
      <c r="D45" s="54">
        <f t="shared" ref="D45:EE45" si="8">D46-D44</f>
        <v>0</v>
      </c>
      <c r="E45" s="54">
        <f t="shared" si="8"/>
        <v>0</v>
      </c>
      <c r="F45" s="54">
        <f t="shared" si="8"/>
        <v>0</v>
      </c>
      <c r="G45" s="54">
        <f t="shared" si="8"/>
        <v>0</v>
      </c>
      <c r="H45" s="54">
        <f t="shared" si="8"/>
        <v>0</v>
      </c>
      <c r="I45" s="54">
        <f t="shared" si="8"/>
        <v>0</v>
      </c>
      <c r="J45" s="54">
        <f t="shared" si="8"/>
        <v>0</v>
      </c>
      <c r="K45" s="54">
        <f t="shared" si="8"/>
        <v>0</v>
      </c>
      <c r="L45" s="54">
        <f t="shared" si="8"/>
        <v>0</v>
      </c>
      <c r="M45" s="54">
        <f t="shared" si="8"/>
        <v>0</v>
      </c>
      <c r="N45" s="54">
        <f t="shared" si="8"/>
        <v>0</v>
      </c>
      <c r="O45" s="54">
        <f t="shared" si="8"/>
        <v>0</v>
      </c>
      <c r="P45" s="54">
        <f t="shared" si="8"/>
        <v>0</v>
      </c>
      <c r="Q45" s="54">
        <f t="shared" si="8"/>
        <v>0</v>
      </c>
      <c r="R45" s="54">
        <f t="shared" si="8"/>
        <v>0</v>
      </c>
      <c r="S45" s="54">
        <f t="shared" si="8"/>
        <v>0</v>
      </c>
      <c r="T45" s="54">
        <f t="shared" si="8"/>
        <v>0</v>
      </c>
      <c r="U45" s="54">
        <f t="shared" si="8"/>
        <v>0</v>
      </c>
      <c r="V45" s="54">
        <f t="shared" si="8"/>
        <v>0</v>
      </c>
      <c r="W45" s="54">
        <f t="shared" si="8"/>
        <v>0</v>
      </c>
      <c r="X45" s="54">
        <f t="shared" si="8"/>
        <v>0</v>
      </c>
      <c r="Y45" s="54">
        <f t="shared" si="8"/>
        <v>0</v>
      </c>
      <c r="Z45" s="54">
        <f t="shared" si="8"/>
        <v>0</v>
      </c>
      <c r="AA45" s="54">
        <f t="shared" si="8"/>
        <v>0</v>
      </c>
      <c r="AB45" s="54">
        <f t="shared" si="8"/>
        <v>0</v>
      </c>
      <c r="AC45" s="54">
        <f t="shared" si="8"/>
        <v>0</v>
      </c>
      <c r="AD45" s="54">
        <f t="shared" si="8"/>
        <v>0</v>
      </c>
      <c r="AE45" s="54">
        <f t="shared" si="8"/>
        <v>0</v>
      </c>
      <c r="AF45" s="54">
        <f t="shared" si="8"/>
        <v>0</v>
      </c>
      <c r="AG45" s="54">
        <f t="shared" si="8"/>
        <v>0</v>
      </c>
      <c r="AH45" s="54">
        <f t="shared" si="8"/>
        <v>0</v>
      </c>
      <c r="AI45" s="54">
        <f t="shared" si="8"/>
        <v>0</v>
      </c>
      <c r="AJ45" s="54">
        <f t="shared" si="8"/>
        <v>0</v>
      </c>
      <c r="AK45" s="54">
        <f t="shared" si="8"/>
        <v>0</v>
      </c>
      <c r="AL45" s="54">
        <f t="shared" si="8"/>
        <v>0</v>
      </c>
      <c r="AM45" s="54">
        <f t="shared" si="8"/>
        <v>0</v>
      </c>
      <c r="AN45" s="54">
        <f t="shared" si="8"/>
        <v>4052.901005</v>
      </c>
      <c r="AO45" s="54">
        <f t="shared" si="8"/>
        <v>4072.084737</v>
      </c>
      <c r="AP45" s="54">
        <f t="shared" si="8"/>
        <v>4091.359271</v>
      </c>
      <c r="AQ45" s="54">
        <f t="shared" si="8"/>
        <v>4110.725038</v>
      </c>
      <c r="AR45" s="54">
        <f t="shared" si="8"/>
        <v>4130.18247</v>
      </c>
      <c r="AS45" s="54">
        <f t="shared" si="8"/>
        <v>4149.732001</v>
      </c>
      <c r="AT45" s="54">
        <f t="shared" si="8"/>
        <v>4169.374065</v>
      </c>
      <c r="AU45" s="54">
        <f t="shared" si="8"/>
        <v>4189.109103</v>
      </c>
      <c r="AV45" s="54">
        <f t="shared" si="8"/>
        <v>4208.937552</v>
      </c>
      <c r="AW45" s="54">
        <f t="shared" si="8"/>
        <v>4228.859857</v>
      </c>
      <c r="AX45" s="54">
        <f t="shared" si="8"/>
        <v>4248.87646</v>
      </c>
      <c r="AY45" s="54">
        <f t="shared" si="8"/>
        <v>4268.987809</v>
      </c>
      <c r="AZ45" s="54">
        <f t="shared" si="8"/>
        <v>4289.194351</v>
      </c>
      <c r="BA45" s="54">
        <f t="shared" si="8"/>
        <v>4309.496538</v>
      </c>
      <c r="BB45" s="54">
        <f t="shared" si="8"/>
        <v>4329.894821</v>
      </c>
      <c r="BC45" s="54">
        <f t="shared" si="8"/>
        <v>4350.389657</v>
      </c>
      <c r="BD45" s="54">
        <f t="shared" si="8"/>
        <v>4370.981501</v>
      </c>
      <c r="BE45" s="54">
        <f t="shared" si="8"/>
        <v>4391.670813</v>
      </c>
      <c r="BF45" s="54">
        <f t="shared" si="8"/>
        <v>4412.458055</v>
      </c>
      <c r="BG45" s="54">
        <f t="shared" si="8"/>
        <v>4433.34369</v>
      </c>
      <c r="BH45" s="54">
        <f t="shared" si="8"/>
        <v>4454.328184</v>
      </c>
      <c r="BI45" s="54">
        <f t="shared" si="8"/>
        <v>4475.412004</v>
      </c>
      <c r="BJ45" s="54">
        <f t="shared" si="8"/>
        <v>4496.59562</v>
      </c>
      <c r="BK45" s="54">
        <f t="shared" si="8"/>
        <v>4517.879506</v>
      </c>
      <c r="BL45" s="54">
        <f t="shared" si="8"/>
        <v>4539.264136</v>
      </c>
      <c r="BM45" s="54">
        <f t="shared" si="8"/>
        <v>4560.749986</v>
      </c>
      <c r="BN45" s="54">
        <f t="shared" si="8"/>
        <v>4582.337536</v>
      </c>
      <c r="BO45" s="54">
        <f t="shared" si="8"/>
        <v>4604.027267</v>
      </c>
      <c r="BP45" s="54">
        <f t="shared" si="8"/>
        <v>4625.819663</v>
      </c>
      <c r="BQ45" s="54">
        <f t="shared" si="8"/>
        <v>4647.715209</v>
      </c>
      <c r="BR45" s="54">
        <f t="shared" si="8"/>
        <v>4669.714395</v>
      </c>
      <c r="BS45" s="54">
        <f t="shared" si="8"/>
        <v>4691.817709</v>
      </c>
      <c r="BT45" s="54">
        <f t="shared" si="8"/>
        <v>4714.025647</v>
      </c>
      <c r="BU45" s="54">
        <f t="shared" si="8"/>
        <v>4736.338701</v>
      </c>
      <c r="BV45" s="54">
        <f t="shared" si="8"/>
        <v>4758.757371</v>
      </c>
      <c r="BW45" s="54">
        <f t="shared" si="8"/>
        <v>4781.282156</v>
      </c>
      <c r="BX45" s="54">
        <f t="shared" si="8"/>
        <v>4803.913558</v>
      </c>
      <c r="BY45" s="54">
        <f t="shared" si="8"/>
        <v>4826.652082</v>
      </c>
      <c r="BZ45" s="54">
        <f t="shared" si="8"/>
        <v>4849.498236</v>
      </c>
      <c r="CA45" s="54">
        <f t="shared" si="8"/>
        <v>4872.452527</v>
      </c>
      <c r="CB45" s="54">
        <f t="shared" si="8"/>
        <v>4895.515469</v>
      </c>
      <c r="CC45" s="54">
        <f t="shared" si="8"/>
        <v>4918.687576</v>
      </c>
      <c r="CD45" s="54">
        <f t="shared" si="8"/>
        <v>4941.969364</v>
      </c>
      <c r="CE45" s="54">
        <f t="shared" si="8"/>
        <v>4965.361352</v>
      </c>
      <c r="CF45" s="54">
        <f t="shared" si="8"/>
        <v>4988.864062</v>
      </c>
      <c r="CG45" s="54">
        <f t="shared" si="8"/>
        <v>5012.478019</v>
      </c>
      <c r="CH45" s="54">
        <f t="shared" si="8"/>
        <v>5036.203748</v>
      </c>
      <c r="CI45" s="54">
        <f t="shared" si="8"/>
        <v>5060.041779</v>
      </c>
      <c r="CJ45" s="54">
        <f t="shared" si="8"/>
        <v>5083.992644</v>
      </c>
      <c r="CK45" s="54">
        <f t="shared" si="8"/>
        <v>5108.056876</v>
      </c>
      <c r="CL45" s="54">
        <f t="shared" si="8"/>
        <v>5132.235011</v>
      </c>
      <c r="CM45" s="54">
        <f t="shared" si="8"/>
        <v>5156.527591</v>
      </c>
      <c r="CN45" s="54">
        <f t="shared" si="8"/>
        <v>5180.935154</v>
      </c>
      <c r="CO45" s="54">
        <f t="shared" si="8"/>
        <v>5205.458248</v>
      </c>
      <c r="CP45" s="54">
        <f t="shared" si="8"/>
        <v>5230.097417</v>
      </c>
      <c r="CQ45" s="54">
        <f t="shared" si="8"/>
        <v>5254.853211</v>
      </c>
      <c r="CR45" s="54">
        <f t="shared" si="8"/>
        <v>5279.726183</v>
      </c>
      <c r="CS45" s="54">
        <f t="shared" si="8"/>
        <v>5304.716887</v>
      </c>
      <c r="CT45" s="54">
        <f t="shared" si="8"/>
        <v>5329.82588</v>
      </c>
      <c r="CU45" s="54">
        <f t="shared" si="8"/>
        <v>5355.053723</v>
      </c>
      <c r="CV45" s="54">
        <f t="shared" si="8"/>
        <v>5380.400977</v>
      </c>
      <c r="CW45" s="54">
        <f t="shared" si="8"/>
        <v>5405.868208</v>
      </c>
      <c r="CX45" s="54">
        <f t="shared" si="8"/>
        <v>5431.455984</v>
      </c>
      <c r="CY45" s="54">
        <f t="shared" si="8"/>
        <v>5457.164876</v>
      </c>
      <c r="CZ45" s="54">
        <f t="shared" si="8"/>
        <v>5482.995456</v>
      </c>
      <c r="DA45" s="54">
        <f t="shared" si="8"/>
        <v>5508.948302</v>
      </c>
      <c r="DB45" s="54">
        <f t="shared" si="8"/>
        <v>5535.02399</v>
      </c>
      <c r="DC45" s="54">
        <f t="shared" si="8"/>
        <v>5561.223104</v>
      </c>
      <c r="DD45" s="54">
        <f t="shared" si="8"/>
        <v>5587.546226</v>
      </c>
      <c r="DE45" s="54">
        <f t="shared" si="8"/>
        <v>5613.993945</v>
      </c>
      <c r="DF45" s="54">
        <f t="shared" si="8"/>
        <v>5640.56685</v>
      </c>
      <c r="DG45" s="54">
        <f t="shared" si="8"/>
        <v>5667.265533</v>
      </c>
      <c r="DH45" s="54">
        <f t="shared" si="8"/>
        <v>5694.09059</v>
      </c>
      <c r="DI45" s="54">
        <f t="shared" si="8"/>
        <v>5721.042619</v>
      </c>
      <c r="DJ45" s="54">
        <f t="shared" si="8"/>
        <v>5748.12222</v>
      </c>
      <c r="DK45" s="54">
        <f t="shared" si="8"/>
        <v>5775.329999</v>
      </c>
      <c r="DL45" s="54">
        <f t="shared" si="8"/>
        <v>5802.666561</v>
      </c>
      <c r="DM45" s="54">
        <f t="shared" si="8"/>
        <v>5830.132516</v>
      </c>
      <c r="DN45" s="54">
        <f t="shared" si="8"/>
        <v>5857.728477</v>
      </c>
      <c r="DO45" s="54">
        <f t="shared" si="8"/>
        <v>5885.455058</v>
      </c>
      <c r="DP45" s="54">
        <f t="shared" si="8"/>
        <v>5913.312879</v>
      </c>
      <c r="DQ45" s="54">
        <f t="shared" si="8"/>
        <v>5941.30256</v>
      </c>
      <c r="DR45" s="54">
        <f t="shared" si="8"/>
        <v>5969.424725</v>
      </c>
      <c r="DS45" s="54">
        <f t="shared" si="8"/>
        <v>5997.680002</v>
      </c>
      <c r="DT45" s="54">
        <f t="shared" si="8"/>
        <v>6026.069021</v>
      </c>
      <c r="DU45" s="54">
        <f t="shared" si="8"/>
        <v>6054.592414</v>
      </c>
      <c r="DV45" s="54">
        <f t="shared" si="8"/>
        <v>6083.250818</v>
      </c>
      <c r="DW45" s="54">
        <f t="shared" si="8"/>
        <v>6112.044872</v>
      </c>
      <c r="DX45" s="54">
        <f t="shared" si="8"/>
        <v>6140.975218</v>
      </c>
      <c r="DY45" s="54">
        <f t="shared" si="8"/>
        <v>6170.0425</v>
      </c>
      <c r="DZ45" s="54">
        <f t="shared" si="8"/>
        <v>6199.247368</v>
      </c>
      <c r="EA45" s="54">
        <f t="shared" si="8"/>
        <v>6228.590473</v>
      </c>
      <c r="EB45" s="54">
        <f t="shared" si="8"/>
        <v>6258.072467</v>
      </c>
      <c r="EC45" s="54">
        <f t="shared" si="8"/>
        <v>6287.69401</v>
      </c>
      <c r="ED45" s="54">
        <f t="shared" si="8"/>
        <v>6317.455762</v>
      </c>
      <c r="EE45" s="54">
        <f t="shared" si="8"/>
        <v>6347.358386</v>
      </c>
    </row>
    <row r="46" ht="15.75" customHeight="1">
      <c r="A46" s="1"/>
      <c r="B46" s="1"/>
      <c r="C46" s="1" t="s">
        <v>197</v>
      </c>
      <c r="D46" s="54">
        <f>-PMT(Assumptions!$H44/12,Assumptions!$H45*12,Assumptions!$H42)*IF(D1&gt;Assumptions!$H$47,1,0)</f>
        <v>0</v>
      </c>
      <c r="E46" s="54">
        <f>-PMT(Assumptions!$H44/12,Assumptions!$H45*12,Assumptions!$H42)*IF(E1&gt;Assumptions!$H$47,1,0)</f>
        <v>0</v>
      </c>
      <c r="F46" s="54">
        <f>-PMT(Assumptions!$H44/12,Assumptions!$H45*12,Assumptions!$H42)*IF(F1&gt;Assumptions!$H$47,1,0)</f>
        <v>0</v>
      </c>
      <c r="G46" s="54">
        <f>-PMT(Assumptions!$H44/12,Assumptions!$H45*12,Assumptions!$H42)*IF(G1&gt;Assumptions!$H$47,1,0)</f>
        <v>0</v>
      </c>
      <c r="H46" s="54">
        <f>-PMT(Assumptions!$H44/12,Assumptions!$H45*12,Assumptions!$H42)*IF(H1&gt;Assumptions!$H$47,1,0)</f>
        <v>0</v>
      </c>
      <c r="I46" s="54">
        <f>-PMT(Assumptions!$H44/12,Assumptions!$H45*12,Assumptions!$H42)*IF(I1&gt;Assumptions!$H$47,1,0)</f>
        <v>0</v>
      </c>
      <c r="J46" s="54">
        <f>-PMT(Assumptions!$H44/12,Assumptions!$H45*12,Assumptions!$H42)*IF(J1&gt;Assumptions!$H$47,1,0)</f>
        <v>0</v>
      </c>
      <c r="K46" s="54">
        <f>-PMT(Assumptions!$H44/12,Assumptions!$H45*12,Assumptions!$H42)*IF(K1&gt;Assumptions!$H$47,1,0)</f>
        <v>0</v>
      </c>
      <c r="L46" s="54">
        <f>-PMT(Assumptions!$H44/12,Assumptions!$H45*12,Assumptions!$H42)*IF(L1&gt;Assumptions!$H$47,1,0)</f>
        <v>0</v>
      </c>
      <c r="M46" s="54">
        <f>-PMT(Assumptions!$H44/12,Assumptions!$H45*12,Assumptions!$H42)*IF(M1&gt;Assumptions!$H$47,1,0)</f>
        <v>0</v>
      </c>
      <c r="N46" s="54">
        <f>-PMT(Assumptions!$H44/12,Assumptions!$H45*12,Assumptions!$H42)*IF(N1&gt;Assumptions!$H$47,1,0)</f>
        <v>0</v>
      </c>
      <c r="O46" s="54">
        <f>-PMT(Assumptions!$H44/12,Assumptions!$H45*12,Assumptions!$H42)*IF(O1&gt;Assumptions!$H$47,1,0)</f>
        <v>0</v>
      </c>
      <c r="P46" s="54">
        <f>-PMT(Assumptions!$H44/12,Assumptions!$H45*12,Assumptions!$H42)*IF(P1&gt;Assumptions!$H$47,1,0)</f>
        <v>0</v>
      </c>
      <c r="Q46" s="54">
        <f>-PMT(Assumptions!$H44/12,Assumptions!$H45*12,Assumptions!$H42)*IF(Q1&gt;Assumptions!$H$47,1,0)</f>
        <v>0</v>
      </c>
      <c r="R46" s="54">
        <f>-PMT(Assumptions!$H44/12,Assumptions!$H45*12,Assumptions!$H42)*IF(R1&gt;Assumptions!$H$47,1,0)</f>
        <v>0</v>
      </c>
      <c r="S46" s="54">
        <f>-PMT(Assumptions!$H44/12,Assumptions!$H45*12,Assumptions!$H42)*IF(S1&gt;Assumptions!$H$47,1,0)</f>
        <v>0</v>
      </c>
      <c r="T46" s="54">
        <f>-PMT(Assumptions!$H44/12,Assumptions!$H45*12,Assumptions!$H42)*IF(T1&gt;Assumptions!$H$47,1,0)</f>
        <v>0</v>
      </c>
      <c r="U46" s="54">
        <f>-PMT(Assumptions!$H44/12,Assumptions!$H45*12,Assumptions!$H42)*IF(U1&gt;Assumptions!$H$47,1,0)</f>
        <v>0</v>
      </c>
      <c r="V46" s="54">
        <f>-PMT(Assumptions!$H44/12,Assumptions!$H45*12,Assumptions!$H42)*IF(V1&gt;Assumptions!$H$47,1,0)</f>
        <v>0</v>
      </c>
      <c r="W46" s="54">
        <f>-PMT(Assumptions!$H44/12,Assumptions!$H45*12,Assumptions!$H42)*IF(W1&gt;Assumptions!$H$47,1,0)</f>
        <v>0</v>
      </c>
      <c r="X46" s="54">
        <f>-PMT(Assumptions!$H44/12,Assumptions!$H45*12,Assumptions!$H42)*IF(X1&gt;Assumptions!$H$47,1,0)</f>
        <v>0</v>
      </c>
      <c r="Y46" s="54">
        <f>-PMT(Assumptions!$H44/12,Assumptions!$H45*12,Assumptions!$H42)*IF(Y1&gt;Assumptions!$H$47,1,0)</f>
        <v>0</v>
      </c>
      <c r="Z46" s="54">
        <f>-PMT(Assumptions!$H44/12,Assumptions!$H45*12,Assumptions!$H42)*IF(Z1&gt;Assumptions!$H$47,1,0)</f>
        <v>0</v>
      </c>
      <c r="AA46" s="54">
        <f>-PMT(Assumptions!$H44/12,Assumptions!$H45*12,Assumptions!$H42)*IF(AA1&gt;Assumptions!$H$47,1,0)</f>
        <v>0</v>
      </c>
      <c r="AB46" s="54">
        <f>-PMT(Assumptions!$H44/12,Assumptions!$H45*12,Assumptions!$H42)*IF(AB1&gt;Assumptions!$H$47,1,0)</f>
        <v>0</v>
      </c>
      <c r="AC46" s="54">
        <f>-PMT(Assumptions!$H44/12,Assumptions!$H45*12,Assumptions!$H42)*IF(AC1&gt;Assumptions!$H$47,1,0)</f>
        <v>0</v>
      </c>
      <c r="AD46" s="54">
        <f>-PMT(Assumptions!$H44/12,Assumptions!$H45*12,Assumptions!$H42)*IF(AD1&gt;Assumptions!$H$47,1,0)</f>
        <v>0</v>
      </c>
      <c r="AE46" s="54">
        <f>-PMT(Assumptions!$H44/12,Assumptions!$H45*12,Assumptions!$H42)*IF(AE1&gt;Assumptions!$H$47,1,0)</f>
        <v>0</v>
      </c>
      <c r="AF46" s="54">
        <f>-PMT(Assumptions!$H44/12,Assumptions!$H45*12,Assumptions!$H42)*IF(AF1&gt;Assumptions!$H$47,1,0)</f>
        <v>0</v>
      </c>
      <c r="AG46" s="54">
        <f>-PMT(Assumptions!$H44/12,Assumptions!$H45*12,Assumptions!$H42)*IF(AG1&gt;Assumptions!$H$47,1,0)</f>
        <v>0</v>
      </c>
      <c r="AH46" s="54">
        <f>-PMT(Assumptions!$H44/12,Assumptions!$H45*12,Assumptions!$H42)*IF(AH1&gt;Assumptions!$H$47,1,0)</f>
        <v>0</v>
      </c>
      <c r="AI46" s="54">
        <f>-PMT(Assumptions!$H44/12,Assumptions!$H45*12,Assumptions!$H42)*IF(AI1&gt;Assumptions!$H$47,1,0)</f>
        <v>0</v>
      </c>
      <c r="AJ46" s="54">
        <f>-PMT(Assumptions!$H44/12,Assumptions!$H45*12,Assumptions!$H42)*IF(AJ1&gt;Assumptions!$H$47,1,0)</f>
        <v>0</v>
      </c>
      <c r="AK46" s="54">
        <f>-PMT(Assumptions!$H44/12,Assumptions!$H45*12,Assumptions!$H42)*IF(AK1&gt;Assumptions!$H$47,1,0)</f>
        <v>0</v>
      </c>
      <c r="AL46" s="54">
        <f>-PMT(Assumptions!$H44/12,Assumptions!$H45*12,Assumptions!$H42)*IF(AL1&gt;Assumptions!$H$47,1,0)</f>
        <v>0</v>
      </c>
      <c r="AM46" s="54">
        <f>-PMT(Assumptions!$H44/12,Assumptions!$H45*12,Assumptions!$H42)*IF(AM1&gt;Assumptions!$H$47,1,0)</f>
        <v>0</v>
      </c>
      <c r="AN46" s="54">
        <f>-PMT(Assumptions!$H44/12,Assumptions!$H45*12,Assumptions!$H42)*IF(AN1&gt;Assumptions!$H$47,1,0)</f>
        <v>22184.92054</v>
      </c>
      <c r="AO46" s="54">
        <f>-PMT(Assumptions!$H44/12,Assumptions!$H45*12,Assumptions!$H42)*IF(AO1&gt;Assumptions!$H$47,1,0)</f>
        <v>22184.92054</v>
      </c>
      <c r="AP46" s="54">
        <f>-PMT(Assumptions!$H44/12,Assumptions!$H45*12,Assumptions!$H42)*IF(AP1&gt;Assumptions!$H$47,1,0)</f>
        <v>22184.92054</v>
      </c>
      <c r="AQ46" s="54">
        <f>-PMT(Assumptions!$H44/12,Assumptions!$H45*12,Assumptions!$H42)*IF(AQ1&gt;Assumptions!$H$47,1,0)</f>
        <v>22184.92054</v>
      </c>
      <c r="AR46" s="54">
        <f>-PMT(Assumptions!$H44/12,Assumptions!$H45*12,Assumptions!$H42)*IF(AR1&gt;Assumptions!$H$47,1,0)</f>
        <v>22184.92054</v>
      </c>
      <c r="AS46" s="54">
        <f>-PMT(Assumptions!$H44/12,Assumptions!$H45*12,Assumptions!$H42)*IF(AS1&gt;Assumptions!$H$47,1,0)</f>
        <v>22184.92054</v>
      </c>
      <c r="AT46" s="54">
        <f>-PMT(Assumptions!$H44/12,Assumptions!$H45*12,Assumptions!$H42)*IF(AT1&gt;Assumptions!$H$47,1,0)</f>
        <v>22184.92054</v>
      </c>
      <c r="AU46" s="54">
        <f>-PMT(Assumptions!$H44/12,Assumptions!$H45*12,Assumptions!$H42)*IF(AU1&gt;Assumptions!$H$47,1,0)</f>
        <v>22184.92054</v>
      </c>
      <c r="AV46" s="54">
        <f>-PMT(Assumptions!$H44/12,Assumptions!$H45*12,Assumptions!$H42)*IF(AV1&gt;Assumptions!$H$47,1,0)</f>
        <v>22184.92054</v>
      </c>
      <c r="AW46" s="54">
        <f>-PMT(Assumptions!$H44/12,Assumptions!$H45*12,Assumptions!$H42)*IF(AW1&gt;Assumptions!$H$47,1,0)</f>
        <v>22184.92054</v>
      </c>
      <c r="AX46" s="54">
        <f>-PMT(Assumptions!$H44/12,Assumptions!$H45*12,Assumptions!$H42)*IF(AX1&gt;Assumptions!$H$47,1,0)</f>
        <v>22184.92054</v>
      </c>
      <c r="AY46" s="54">
        <f>-PMT(Assumptions!$H44/12,Assumptions!$H45*12,Assumptions!$H42)*IF(AY1&gt;Assumptions!$H$47,1,0)</f>
        <v>22184.92054</v>
      </c>
      <c r="AZ46" s="54">
        <f>-PMT(Assumptions!$H44/12,Assumptions!$H45*12,Assumptions!$H42)*IF(AZ1&gt;Assumptions!$H$47,1,0)</f>
        <v>22184.92054</v>
      </c>
      <c r="BA46" s="54">
        <f>-PMT(Assumptions!$H44/12,Assumptions!$H45*12,Assumptions!$H42)*IF(BA1&gt;Assumptions!$H$47,1,0)</f>
        <v>22184.92054</v>
      </c>
      <c r="BB46" s="54">
        <f>-PMT(Assumptions!$H44/12,Assumptions!$H45*12,Assumptions!$H42)*IF(BB1&gt;Assumptions!$H$47,1,0)</f>
        <v>22184.92054</v>
      </c>
      <c r="BC46" s="54">
        <f>-PMT(Assumptions!$H44/12,Assumptions!$H45*12,Assumptions!$H42)*IF(BC1&gt;Assumptions!$H$47,1,0)</f>
        <v>22184.92054</v>
      </c>
      <c r="BD46" s="54">
        <f>-PMT(Assumptions!$H44/12,Assumptions!$H45*12,Assumptions!$H42)*IF(BD1&gt;Assumptions!$H$47,1,0)</f>
        <v>22184.92054</v>
      </c>
      <c r="BE46" s="54">
        <f>-PMT(Assumptions!$H44/12,Assumptions!$H45*12,Assumptions!$H42)*IF(BE1&gt;Assumptions!$H$47,1,0)</f>
        <v>22184.92054</v>
      </c>
      <c r="BF46" s="54">
        <f>-PMT(Assumptions!$H44/12,Assumptions!$H45*12,Assumptions!$H42)*IF(BF1&gt;Assumptions!$H$47,1,0)</f>
        <v>22184.92054</v>
      </c>
      <c r="BG46" s="54">
        <f>-PMT(Assumptions!$H44/12,Assumptions!$H45*12,Assumptions!$H42)*IF(BG1&gt;Assumptions!$H$47,1,0)</f>
        <v>22184.92054</v>
      </c>
      <c r="BH46" s="54">
        <f>-PMT(Assumptions!$H44/12,Assumptions!$H45*12,Assumptions!$H42)*IF(BH1&gt;Assumptions!$H$47,1,0)</f>
        <v>22184.92054</v>
      </c>
      <c r="BI46" s="54">
        <f>-PMT(Assumptions!$H44/12,Assumptions!$H45*12,Assumptions!$H42)*IF(BI1&gt;Assumptions!$H$47,1,0)</f>
        <v>22184.92054</v>
      </c>
      <c r="BJ46" s="54">
        <f>-PMT(Assumptions!$H44/12,Assumptions!$H45*12,Assumptions!$H42)*IF(BJ1&gt;Assumptions!$H$47,1,0)</f>
        <v>22184.92054</v>
      </c>
      <c r="BK46" s="54">
        <f>-PMT(Assumptions!$H44/12,Assumptions!$H45*12,Assumptions!$H42)*IF(BK1&gt;Assumptions!$H$47,1,0)</f>
        <v>22184.92054</v>
      </c>
      <c r="BL46" s="54">
        <f>-PMT(Assumptions!$H44/12,Assumptions!$H45*12,Assumptions!$H42)*IF(BL1&gt;Assumptions!$H$47,1,0)</f>
        <v>22184.92054</v>
      </c>
      <c r="BM46" s="54">
        <f>-PMT(Assumptions!$H44/12,Assumptions!$H45*12,Assumptions!$H42)*IF(BM1&gt;Assumptions!$H$47,1,0)</f>
        <v>22184.92054</v>
      </c>
      <c r="BN46" s="54">
        <f>-PMT(Assumptions!$H44/12,Assumptions!$H45*12,Assumptions!$H42)*IF(BN1&gt;Assumptions!$H$47,1,0)</f>
        <v>22184.92054</v>
      </c>
      <c r="BO46" s="54">
        <f>-PMT(Assumptions!$H44/12,Assumptions!$H45*12,Assumptions!$H42)*IF(BO1&gt;Assumptions!$H$47,1,0)</f>
        <v>22184.92054</v>
      </c>
      <c r="BP46" s="54">
        <f>-PMT(Assumptions!$H44/12,Assumptions!$H45*12,Assumptions!$H42)*IF(BP1&gt;Assumptions!$H$47,1,0)</f>
        <v>22184.92054</v>
      </c>
      <c r="BQ46" s="54">
        <f>-PMT(Assumptions!$H44/12,Assumptions!$H45*12,Assumptions!$H42)*IF(BQ1&gt;Assumptions!$H$47,1,0)</f>
        <v>22184.92054</v>
      </c>
      <c r="BR46" s="54">
        <f>-PMT(Assumptions!$H44/12,Assumptions!$H45*12,Assumptions!$H42)*IF(BR1&gt;Assumptions!$H$47,1,0)</f>
        <v>22184.92054</v>
      </c>
      <c r="BS46" s="54">
        <f>-PMT(Assumptions!$H44/12,Assumptions!$H45*12,Assumptions!$H42)*IF(BS1&gt;Assumptions!$H$47,1,0)</f>
        <v>22184.92054</v>
      </c>
      <c r="BT46" s="54">
        <f>-PMT(Assumptions!$H44/12,Assumptions!$H45*12,Assumptions!$H42)*IF(BT1&gt;Assumptions!$H$47,1,0)</f>
        <v>22184.92054</v>
      </c>
      <c r="BU46" s="54">
        <f>-PMT(Assumptions!$H44/12,Assumptions!$H45*12,Assumptions!$H42)*IF(BU1&gt;Assumptions!$H$47,1,0)</f>
        <v>22184.92054</v>
      </c>
      <c r="BV46" s="54">
        <f>-PMT(Assumptions!$H44/12,Assumptions!$H45*12,Assumptions!$H42)*IF(BV1&gt;Assumptions!$H$47,1,0)</f>
        <v>22184.92054</v>
      </c>
      <c r="BW46" s="54">
        <f>-PMT(Assumptions!$H44/12,Assumptions!$H45*12,Assumptions!$H42)*IF(BW1&gt;Assumptions!$H$47,1,0)</f>
        <v>22184.92054</v>
      </c>
      <c r="BX46" s="54">
        <f>-PMT(Assumptions!$H44/12,Assumptions!$H45*12,Assumptions!$H42)*IF(BX1&gt;Assumptions!$H$47,1,0)</f>
        <v>22184.92054</v>
      </c>
      <c r="BY46" s="54">
        <f>-PMT(Assumptions!$H44/12,Assumptions!$H45*12,Assumptions!$H42)*IF(BY1&gt;Assumptions!$H$47,1,0)</f>
        <v>22184.92054</v>
      </c>
      <c r="BZ46" s="54">
        <f>-PMT(Assumptions!$H44/12,Assumptions!$H45*12,Assumptions!$H42)*IF(BZ1&gt;Assumptions!$H$47,1,0)</f>
        <v>22184.92054</v>
      </c>
      <c r="CA46" s="54">
        <f>-PMT(Assumptions!$H44/12,Assumptions!$H45*12,Assumptions!$H42)*IF(CA1&gt;Assumptions!$H$47,1,0)</f>
        <v>22184.92054</v>
      </c>
      <c r="CB46" s="54">
        <f>-PMT(Assumptions!$H44/12,Assumptions!$H45*12,Assumptions!$H42)*IF(CB1&gt;Assumptions!$H$47,1,0)</f>
        <v>22184.92054</v>
      </c>
      <c r="CC46" s="54">
        <f>-PMT(Assumptions!$H44/12,Assumptions!$H45*12,Assumptions!$H42)*IF(CC1&gt;Assumptions!$H$47,1,0)</f>
        <v>22184.92054</v>
      </c>
      <c r="CD46" s="54">
        <f>-PMT(Assumptions!$H44/12,Assumptions!$H45*12,Assumptions!$H42)*IF(CD1&gt;Assumptions!$H$47,1,0)</f>
        <v>22184.92054</v>
      </c>
      <c r="CE46" s="54">
        <f>-PMT(Assumptions!$H44/12,Assumptions!$H45*12,Assumptions!$H42)*IF(CE1&gt;Assumptions!$H$47,1,0)</f>
        <v>22184.92054</v>
      </c>
      <c r="CF46" s="54">
        <f>-PMT(Assumptions!$H44/12,Assumptions!$H45*12,Assumptions!$H42)*IF(CF1&gt;Assumptions!$H$47,1,0)</f>
        <v>22184.92054</v>
      </c>
      <c r="CG46" s="54">
        <f>-PMT(Assumptions!$H44/12,Assumptions!$H45*12,Assumptions!$H42)*IF(CG1&gt;Assumptions!$H$47,1,0)</f>
        <v>22184.92054</v>
      </c>
      <c r="CH46" s="54">
        <f>-PMT(Assumptions!$H44/12,Assumptions!$H45*12,Assumptions!$H42)*IF(CH1&gt;Assumptions!$H$47,1,0)</f>
        <v>22184.92054</v>
      </c>
      <c r="CI46" s="54">
        <f>-PMT(Assumptions!$H44/12,Assumptions!$H45*12,Assumptions!$H42)*IF(CI1&gt;Assumptions!$H$47,1,0)</f>
        <v>22184.92054</v>
      </c>
      <c r="CJ46" s="54">
        <f>-PMT(Assumptions!$H44/12,Assumptions!$H45*12,Assumptions!$H42)*IF(CJ1&gt;Assumptions!$H$47,1,0)</f>
        <v>22184.92054</v>
      </c>
      <c r="CK46" s="54">
        <f>-PMT(Assumptions!$H44/12,Assumptions!$H45*12,Assumptions!$H42)*IF(CK1&gt;Assumptions!$H$47,1,0)</f>
        <v>22184.92054</v>
      </c>
      <c r="CL46" s="54">
        <f>-PMT(Assumptions!$H44/12,Assumptions!$H45*12,Assumptions!$H42)*IF(CL1&gt;Assumptions!$H$47,1,0)</f>
        <v>22184.92054</v>
      </c>
      <c r="CM46" s="54">
        <f>-PMT(Assumptions!$H44/12,Assumptions!$H45*12,Assumptions!$H42)*IF(CM1&gt;Assumptions!$H$47,1,0)</f>
        <v>22184.92054</v>
      </c>
      <c r="CN46" s="54">
        <f>-PMT(Assumptions!$H44/12,Assumptions!$H45*12,Assumptions!$H42)*IF(CN1&gt;Assumptions!$H$47,1,0)</f>
        <v>22184.92054</v>
      </c>
      <c r="CO46" s="54">
        <f>-PMT(Assumptions!$H44/12,Assumptions!$H45*12,Assumptions!$H42)*IF(CO1&gt;Assumptions!$H$47,1,0)</f>
        <v>22184.92054</v>
      </c>
      <c r="CP46" s="54">
        <f>-PMT(Assumptions!$H44/12,Assumptions!$H45*12,Assumptions!$H42)*IF(CP1&gt;Assumptions!$H$47,1,0)</f>
        <v>22184.92054</v>
      </c>
      <c r="CQ46" s="54">
        <f>-PMT(Assumptions!$H44/12,Assumptions!$H45*12,Assumptions!$H42)*IF(CQ1&gt;Assumptions!$H$47,1,0)</f>
        <v>22184.92054</v>
      </c>
      <c r="CR46" s="54">
        <f>-PMT(Assumptions!$H44/12,Assumptions!$H45*12,Assumptions!$H42)*IF(CR1&gt;Assumptions!$H$47,1,0)</f>
        <v>22184.92054</v>
      </c>
      <c r="CS46" s="54">
        <f>-PMT(Assumptions!$H44/12,Assumptions!$H45*12,Assumptions!$H42)*IF(CS1&gt;Assumptions!$H$47,1,0)</f>
        <v>22184.92054</v>
      </c>
      <c r="CT46" s="54">
        <f>-PMT(Assumptions!$H44/12,Assumptions!$H45*12,Assumptions!$H42)*IF(CT1&gt;Assumptions!$H$47,1,0)</f>
        <v>22184.92054</v>
      </c>
      <c r="CU46" s="54">
        <f>-PMT(Assumptions!$H44/12,Assumptions!$H45*12,Assumptions!$H42)*IF(CU1&gt;Assumptions!$H$47,1,0)</f>
        <v>22184.92054</v>
      </c>
      <c r="CV46" s="54">
        <f>-PMT(Assumptions!$H44/12,Assumptions!$H45*12,Assumptions!$H42)*IF(CV1&gt;Assumptions!$H$47,1,0)</f>
        <v>22184.92054</v>
      </c>
      <c r="CW46" s="54">
        <f>-PMT(Assumptions!$H44/12,Assumptions!$H45*12,Assumptions!$H42)*IF(CW1&gt;Assumptions!$H$47,1,0)</f>
        <v>22184.92054</v>
      </c>
      <c r="CX46" s="54">
        <f>-PMT(Assumptions!$H44/12,Assumptions!$H45*12,Assumptions!$H42)*IF(CX1&gt;Assumptions!$H$47,1,0)</f>
        <v>22184.92054</v>
      </c>
      <c r="CY46" s="54">
        <f>-PMT(Assumptions!$H44/12,Assumptions!$H45*12,Assumptions!$H42)*IF(CY1&gt;Assumptions!$H$47,1,0)</f>
        <v>22184.92054</v>
      </c>
      <c r="CZ46" s="54">
        <f>-PMT(Assumptions!$H44/12,Assumptions!$H45*12,Assumptions!$H42)*IF(CZ1&gt;Assumptions!$H$47,1,0)</f>
        <v>22184.92054</v>
      </c>
      <c r="DA46" s="54">
        <f>-PMT(Assumptions!$H44/12,Assumptions!$H45*12,Assumptions!$H42)*IF(DA1&gt;Assumptions!$H$47,1,0)</f>
        <v>22184.92054</v>
      </c>
      <c r="DB46" s="54">
        <f>-PMT(Assumptions!$H44/12,Assumptions!$H45*12,Assumptions!$H42)*IF(DB1&gt;Assumptions!$H$47,1,0)</f>
        <v>22184.92054</v>
      </c>
      <c r="DC46" s="54">
        <f>-PMT(Assumptions!$H44/12,Assumptions!$H45*12,Assumptions!$H42)*IF(DC1&gt;Assumptions!$H$47,1,0)</f>
        <v>22184.92054</v>
      </c>
      <c r="DD46" s="54">
        <f>-PMT(Assumptions!$H44/12,Assumptions!$H45*12,Assumptions!$H42)*IF(DD1&gt;Assumptions!$H$47,1,0)</f>
        <v>22184.92054</v>
      </c>
      <c r="DE46" s="54">
        <f>-PMT(Assumptions!$H44/12,Assumptions!$H45*12,Assumptions!$H42)*IF(DE1&gt;Assumptions!$H$47,1,0)</f>
        <v>22184.92054</v>
      </c>
      <c r="DF46" s="54">
        <f>-PMT(Assumptions!$H44/12,Assumptions!$H45*12,Assumptions!$H42)*IF(DF1&gt;Assumptions!$H$47,1,0)</f>
        <v>22184.92054</v>
      </c>
      <c r="DG46" s="54">
        <f>-PMT(Assumptions!$H44/12,Assumptions!$H45*12,Assumptions!$H42)*IF(DG1&gt;Assumptions!$H$47,1,0)</f>
        <v>22184.92054</v>
      </c>
      <c r="DH46" s="54">
        <f>-PMT(Assumptions!$H44/12,Assumptions!$H45*12,Assumptions!$H42)*IF(DH1&gt;Assumptions!$H$47,1,0)</f>
        <v>22184.92054</v>
      </c>
      <c r="DI46" s="54">
        <f>-PMT(Assumptions!$H44/12,Assumptions!$H45*12,Assumptions!$H42)*IF(DI1&gt;Assumptions!$H$47,1,0)</f>
        <v>22184.92054</v>
      </c>
      <c r="DJ46" s="54">
        <f>-PMT(Assumptions!$H44/12,Assumptions!$H45*12,Assumptions!$H42)*IF(DJ1&gt;Assumptions!$H$47,1,0)</f>
        <v>22184.92054</v>
      </c>
      <c r="DK46" s="54">
        <f>-PMT(Assumptions!$H44/12,Assumptions!$H45*12,Assumptions!$H42)*IF(DK1&gt;Assumptions!$H$47,1,0)</f>
        <v>22184.92054</v>
      </c>
      <c r="DL46" s="54">
        <f>-PMT(Assumptions!$H44/12,Assumptions!$H45*12,Assumptions!$H42)*IF(DL1&gt;Assumptions!$H$47,1,0)</f>
        <v>22184.92054</v>
      </c>
      <c r="DM46" s="54">
        <f>-PMT(Assumptions!$H44/12,Assumptions!$H45*12,Assumptions!$H42)*IF(DM1&gt;Assumptions!$H$47,1,0)</f>
        <v>22184.92054</v>
      </c>
      <c r="DN46" s="54">
        <f>-PMT(Assumptions!$H44/12,Assumptions!$H45*12,Assumptions!$H42)*IF(DN1&gt;Assumptions!$H$47,1,0)</f>
        <v>22184.92054</v>
      </c>
      <c r="DO46" s="54">
        <f>-PMT(Assumptions!$H44/12,Assumptions!$H45*12,Assumptions!$H42)*IF(DO1&gt;Assumptions!$H$47,1,0)</f>
        <v>22184.92054</v>
      </c>
      <c r="DP46" s="54">
        <f>-PMT(Assumptions!$H44/12,Assumptions!$H45*12,Assumptions!$H42)*IF(DP1&gt;Assumptions!$H$47,1,0)</f>
        <v>22184.92054</v>
      </c>
      <c r="DQ46" s="54">
        <f>-PMT(Assumptions!$H44/12,Assumptions!$H45*12,Assumptions!$H42)*IF(DQ1&gt;Assumptions!$H$47,1,0)</f>
        <v>22184.92054</v>
      </c>
      <c r="DR46" s="54">
        <f>-PMT(Assumptions!$H44/12,Assumptions!$H45*12,Assumptions!$H42)*IF(DR1&gt;Assumptions!$H$47,1,0)</f>
        <v>22184.92054</v>
      </c>
      <c r="DS46" s="54">
        <f>-PMT(Assumptions!$H44/12,Assumptions!$H45*12,Assumptions!$H42)*IF(DS1&gt;Assumptions!$H$47,1,0)</f>
        <v>22184.92054</v>
      </c>
      <c r="DT46" s="54">
        <f>-PMT(Assumptions!$H44/12,Assumptions!$H45*12,Assumptions!$H42)*IF(DT1&gt;Assumptions!$H$47,1,0)</f>
        <v>22184.92054</v>
      </c>
      <c r="DU46" s="54">
        <f>-PMT(Assumptions!$H44/12,Assumptions!$H45*12,Assumptions!$H42)*IF(DU1&gt;Assumptions!$H$47,1,0)</f>
        <v>22184.92054</v>
      </c>
      <c r="DV46" s="54">
        <f>-PMT(Assumptions!$H44/12,Assumptions!$H45*12,Assumptions!$H42)*IF(DV1&gt;Assumptions!$H$47,1,0)</f>
        <v>22184.92054</v>
      </c>
      <c r="DW46" s="54">
        <f>-PMT(Assumptions!$H44/12,Assumptions!$H45*12,Assumptions!$H42)*IF(DW1&gt;Assumptions!$H$47,1,0)</f>
        <v>22184.92054</v>
      </c>
      <c r="DX46" s="54">
        <f>-PMT(Assumptions!$H44/12,Assumptions!$H45*12,Assumptions!$H42)*IF(DX1&gt;Assumptions!$H$47,1,0)</f>
        <v>22184.92054</v>
      </c>
      <c r="DY46" s="54">
        <f>-PMT(Assumptions!$H44/12,Assumptions!$H45*12,Assumptions!$H42)*IF(DY1&gt;Assumptions!$H$47,1,0)</f>
        <v>22184.92054</v>
      </c>
      <c r="DZ46" s="54">
        <f>-PMT(Assumptions!$H44/12,Assumptions!$H45*12,Assumptions!$H42)*IF(DZ1&gt;Assumptions!$H$47,1,0)</f>
        <v>22184.92054</v>
      </c>
      <c r="EA46" s="54">
        <f>-PMT(Assumptions!$H44/12,Assumptions!$H45*12,Assumptions!$H42)*IF(EA1&gt;Assumptions!$H$47,1,0)</f>
        <v>22184.92054</v>
      </c>
      <c r="EB46" s="54">
        <f>-PMT(Assumptions!$H44/12,Assumptions!$H45*12,Assumptions!$H42)*IF(EB1&gt;Assumptions!$H$47,1,0)</f>
        <v>22184.92054</v>
      </c>
      <c r="EC46" s="54">
        <f>-PMT(Assumptions!$H44/12,Assumptions!$H45*12,Assumptions!$H42)*IF(EC1&gt;Assumptions!$H$47,1,0)</f>
        <v>22184.92054</v>
      </c>
      <c r="ED46" s="54">
        <f>-PMT(Assumptions!$H44/12,Assumptions!$H45*12,Assumptions!$H42)*IF(ED1&gt;Assumptions!$H$47,1,0)</f>
        <v>22184.92054</v>
      </c>
      <c r="EE46" s="54">
        <f>-PMT(Assumptions!$H44/12,Assumptions!$H45*12,Assumptions!$H42)*IF(EE1&gt;Assumptions!$H$47,1,0)</f>
        <v>22184.92054</v>
      </c>
    </row>
    <row r="47" ht="15.75" customHeight="1">
      <c r="A47" s="1"/>
      <c r="B47" s="1"/>
      <c r="C47" s="1" t="s">
        <v>174</v>
      </c>
      <c r="D47" s="54">
        <f t="shared" ref="D47:EE47" si="9">D43-D45</f>
        <v>3830708.352</v>
      </c>
      <c r="E47" s="54">
        <f t="shared" si="9"/>
        <v>3830708.352</v>
      </c>
      <c r="F47" s="54">
        <f t="shared" si="9"/>
        <v>3830708.352</v>
      </c>
      <c r="G47" s="54">
        <f t="shared" si="9"/>
        <v>3830708.352</v>
      </c>
      <c r="H47" s="54">
        <f t="shared" si="9"/>
        <v>3830708.352</v>
      </c>
      <c r="I47" s="54">
        <f t="shared" si="9"/>
        <v>3830708.352</v>
      </c>
      <c r="J47" s="54">
        <f t="shared" si="9"/>
        <v>3830708.352</v>
      </c>
      <c r="K47" s="54">
        <f t="shared" si="9"/>
        <v>3830708.352</v>
      </c>
      <c r="L47" s="54">
        <f t="shared" si="9"/>
        <v>3830708.352</v>
      </c>
      <c r="M47" s="54">
        <f t="shared" si="9"/>
        <v>3830708.352</v>
      </c>
      <c r="N47" s="54">
        <f t="shared" si="9"/>
        <v>3830708.352</v>
      </c>
      <c r="O47" s="54">
        <f t="shared" si="9"/>
        <v>3830708.352</v>
      </c>
      <c r="P47" s="54">
        <f t="shared" si="9"/>
        <v>3830708.352</v>
      </c>
      <c r="Q47" s="54">
        <f t="shared" si="9"/>
        <v>3830708.352</v>
      </c>
      <c r="R47" s="54">
        <f t="shared" si="9"/>
        <v>3830708.352</v>
      </c>
      <c r="S47" s="54">
        <f t="shared" si="9"/>
        <v>3830708.352</v>
      </c>
      <c r="T47" s="54">
        <f t="shared" si="9"/>
        <v>3830708.352</v>
      </c>
      <c r="U47" s="54">
        <f t="shared" si="9"/>
        <v>3830708.352</v>
      </c>
      <c r="V47" s="54">
        <f t="shared" si="9"/>
        <v>3830708.352</v>
      </c>
      <c r="W47" s="54">
        <f t="shared" si="9"/>
        <v>3830708.352</v>
      </c>
      <c r="X47" s="54">
        <f t="shared" si="9"/>
        <v>3830708.352</v>
      </c>
      <c r="Y47" s="54">
        <f t="shared" si="9"/>
        <v>3830708.352</v>
      </c>
      <c r="Z47" s="54">
        <f t="shared" si="9"/>
        <v>3830708.352</v>
      </c>
      <c r="AA47" s="54">
        <f t="shared" si="9"/>
        <v>3830708.352</v>
      </c>
      <c r="AB47" s="54">
        <f t="shared" si="9"/>
        <v>3830708.352</v>
      </c>
      <c r="AC47" s="54">
        <f t="shared" si="9"/>
        <v>3830708.352</v>
      </c>
      <c r="AD47" s="54">
        <f t="shared" si="9"/>
        <v>3830708.352</v>
      </c>
      <c r="AE47" s="54">
        <f t="shared" si="9"/>
        <v>3830708.352</v>
      </c>
      <c r="AF47" s="54">
        <f t="shared" si="9"/>
        <v>3830708.352</v>
      </c>
      <c r="AG47" s="54">
        <f t="shared" si="9"/>
        <v>3830708.352</v>
      </c>
      <c r="AH47" s="54">
        <f t="shared" si="9"/>
        <v>3830708.352</v>
      </c>
      <c r="AI47" s="54">
        <f t="shared" si="9"/>
        <v>3830708.352</v>
      </c>
      <c r="AJ47" s="54">
        <f t="shared" si="9"/>
        <v>3830708.352</v>
      </c>
      <c r="AK47" s="54">
        <f t="shared" si="9"/>
        <v>3830708.352</v>
      </c>
      <c r="AL47" s="54">
        <f t="shared" si="9"/>
        <v>3830708.352</v>
      </c>
      <c r="AM47" s="54">
        <f t="shared" si="9"/>
        <v>3830708.352</v>
      </c>
      <c r="AN47" s="54">
        <f t="shared" si="9"/>
        <v>3826655.451</v>
      </c>
      <c r="AO47" s="54">
        <f t="shared" si="9"/>
        <v>3822583.366</v>
      </c>
      <c r="AP47" s="54">
        <f t="shared" si="9"/>
        <v>3818492.007</v>
      </c>
      <c r="AQ47" s="54">
        <f t="shared" si="9"/>
        <v>3814381.282</v>
      </c>
      <c r="AR47" s="54">
        <f t="shared" si="9"/>
        <v>3810251.099</v>
      </c>
      <c r="AS47" s="54">
        <f t="shared" si="9"/>
        <v>3806101.367</v>
      </c>
      <c r="AT47" s="54">
        <f t="shared" si="9"/>
        <v>3801931.993</v>
      </c>
      <c r="AU47" s="54">
        <f t="shared" si="9"/>
        <v>3797742.884</v>
      </c>
      <c r="AV47" s="54">
        <f t="shared" si="9"/>
        <v>3793533.947</v>
      </c>
      <c r="AW47" s="54">
        <f t="shared" si="9"/>
        <v>3789305.087</v>
      </c>
      <c r="AX47" s="54">
        <f t="shared" si="9"/>
        <v>3785056.21</v>
      </c>
      <c r="AY47" s="54">
        <f t="shared" si="9"/>
        <v>3780787.223</v>
      </c>
      <c r="AZ47" s="54">
        <f t="shared" si="9"/>
        <v>3776498.028</v>
      </c>
      <c r="BA47" s="54">
        <f t="shared" si="9"/>
        <v>3772188.532</v>
      </c>
      <c r="BB47" s="54">
        <f t="shared" si="9"/>
        <v>3767858.637</v>
      </c>
      <c r="BC47" s="54">
        <f t="shared" si="9"/>
        <v>3763508.247</v>
      </c>
      <c r="BD47" s="54">
        <f t="shared" si="9"/>
        <v>3759137.266</v>
      </c>
      <c r="BE47" s="54">
        <f t="shared" si="9"/>
        <v>3754745.595</v>
      </c>
      <c r="BF47" s="54">
        <f t="shared" si="9"/>
        <v>3750333.137</v>
      </c>
      <c r="BG47" s="54">
        <f t="shared" si="9"/>
        <v>3745899.793</v>
      </c>
      <c r="BH47" s="54">
        <f t="shared" si="9"/>
        <v>3741445.465</v>
      </c>
      <c r="BI47" s="54">
        <f t="shared" si="9"/>
        <v>3736970.053</v>
      </c>
      <c r="BJ47" s="54">
        <f t="shared" si="9"/>
        <v>3732473.457</v>
      </c>
      <c r="BK47" s="54">
        <f t="shared" si="9"/>
        <v>3727955.578</v>
      </c>
      <c r="BL47" s="54">
        <f t="shared" si="9"/>
        <v>3723416.314</v>
      </c>
      <c r="BM47" s="54">
        <f t="shared" si="9"/>
        <v>3718855.564</v>
      </c>
      <c r="BN47" s="54">
        <f t="shared" si="9"/>
        <v>3714273.226</v>
      </c>
      <c r="BO47" s="54">
        <f t="shared" si="9"/>
        <v>3709669.199</v>
      </c>
      <c r="BP47" s="54">
        <f t="shared" si="9"/>
        <v>3705043.379</v>
      </c>
      <c r="BQ47" s="54">
        <f t="shared" si="9"/>
        <v>3700395.664</v>
      </c>
      <c r="BR47" s="54">
        <f t="shared" si="9"/>
        <v>3695725.95</v>
      </c>
      <c r="BS47" s="54">
        <f t="shared" si="9"/>
        <v>3691034.132</v>
      </c>
      <c r="BT47" s="54">
        <f t="shared" si="9"/>
        <v>3686320.106</v>
      </c>
      <c r="BU47" s="54">
        <f t="shared" si="9"/>
        <v>3681583.768</v>
      </c>
      <c r="BV47" s="54">
        <f t="shared" si="9"/>
        <v>3676825.01</v>
      </c>
      <c r="BW47" s="54">
        <f t="shared" si="9"/>
        <v>3672043.728</v>
      </c>
      <c r="BX47" s="54">
        <f t="shared" si="9"/>
        <v>3667239.814</v>
      </c>
      <c r="BY47" s="54">
        <f t="shared" si="9"/>
        <v>3662413.162</v>
      </c>
      <c r="BZ47" s="54">
        <f t="shared" si="9"/>
        <v>3657563.664</v>
      </c>
      <c r="CA47" s="54">
        <f t="shared" si="9"/>
        <v>3652691.212</v>
      </c>
      <c r="CB47" s="54">
        <f t="shared" si="9"/>
        <v>3647795.696</v>
      </c>
      <c r="CC47" s="54">
        <f t="shared" si="9"/>
        <v>3642877.009</v>
      </c>
      <c r="CD47" s="54">
        <f t="shared" si="9"/>
        <v>3637935.039</v>
      </c>
      <c r="CE47" s="54">
        <f t="shared" si="9"/>
        <v>3632969.678</v>
      </c>
      <c r="CF47" s="54">
        <f t="shared" si="9"/>
        <v>3627980.814</v>
      </c>
      <c r="CG47" s="54">
        <f t="shared" si="9"/>
        <v>3622968.336</v>
      </c>
      <c r="CH47" s="54">
        <f t="shared" si="9"/>
        <v>3617932.132</v>
      </c>
      <c r="CI47" s="54">
        <f t="shared" si="9"/>
        <v>3612872.09</v>
      </c>
      <c r="CJ47" s="54">
        <f t="shared" si="9"/>
        <v>3607788.098</v>
      </c>
      <c r="CK47" s="54">
        <f t="shared" si="9"/>
        <v>3602680.041</v>
      </c>
      <c r="CL47" s="54">
        <f t="shared" si="9"/>
        <v>3597547.806</v>
      </c>
      <c r="CM47" s="54">
        <f t="shared" si="9"/>
        <v>3592391.278</v>
      </c>
      <c r="CN47" s="54">
        <f t="shared" si="9"/>
        <v>3587210.343</v>
      </c>
      <c r="CO47" s="54">
        <f t="shared" si="9"/>
        <v>3582004.885</v>
      </c>
      <c r="CP47" s="54">
        <f t="shared" si="9"/>
        <v>3576774.787</v>
      </c>
      <c r="CQ47" s="54">
        <f t="shared" si="9"/>
        <v>3571519.934</v>
      </c>
      <c r="CR47" s="54">
        <f t="shared" si="9"/>
        <v>3566240.208</v>
      </c>
      <c r="CS47" s="54">
        <f t="shared" si="9"/>
        <v>3560935.491</v>
      </c>
      <c r="CT47" s="54">
        <f t="shared" si="9"/>
        <v>3555605.665</v>
      </c>
      <c r="CU47" s="54">
        <f t="shared" si="9"/>
        <v>3550250.611</v>
      </c>
      <c r="CV47" s="54">
        <f t="shared" si="9"/>
        <v>3544870.21</v>
      </c>
      <c r="CW47" s="54">
        <f t="shared" si="9"/>
        <v>3539464.342</v>
      </c>
      <c r="CX47" s="54">
        <f t="shared" si="9"/>
        <v>3534032.886</v>
      </c>
      <c r="CY47" s="54">
        <f t="shared" si="9"/>
        <v>3528575.721</v>
      </c>
      <c r="CZ47" s="54">
        <f t="shared" si="9"/>
        <v>3523092.726</v>
      </c>
      <c r="DA47" s="54">
        <f t="shared" si="9"/>
        <v>3517583.778</v>
      </c>
      <c r="DB47" s="54">
        <f t="shared" si="9"/>
        <v>3512048.754</v>
      </c>
      <c r="DC47" s="54">
        <f t="shared" si="9"/>
        <v>3506487.53</v>
      </c>
      <c r="DD47" s="54">
        <f t="shared" si="9"/>
        <v>3500899.984</v>
      </c>
      <c r="DE47" s="54">
        <f t="shared" si="9"/>
        <v>3495285.99</v>
      </c>
      <c r="DF47" s="54">
        <f t="shared" si="9"/>
        <v>3489645.423</v>
      </c>
      <c r="DG47" s="54">
        <f t="shared" si="9"/>
        <v>3483978.158</v>
      </c>
      <c r="DH47" s="54">
        <f t="shared" si="9"/>
        <v>3478284.067</v>
      </c>
      <c r="DI47" s="54">
        <f t="shared" si="9"/>
        <v>3472563.025</v>
      </c>
      <c r="DJ47" s="54">
        <f t="shared" si="9"/>
        <v>3466814.903</v>
      </c>
      <c r="DK47" s="54">
        <f t="shared" si="9"/>
        <v>3461039.573</v>
      </c>
      <c r="DL47" s="54">
        <f t="shared" si="9"/>
        <v>3455236.906</v>
      </c>
      <c r="DM47" s="54">
        <f t="shared" si="9"/>
        <v>3449406.773</v>
      </c>
      <c r="DN47" s="54">
        <f t="shared" si="9"/>
        <v>3443549.045</v>
      </c>
      <c r="DO47" s="54">
        <f t="shared" si="9"/>
        <v>3437663.59</v>
      </c>
      <c r="DP47" s="54">
        <f t="shared" si="9"/>
        <v>3431750.277</v>
      </c>
      <c r="DQ47" s="54">
        <f t="shared" si="9"/>
        <v>3425808.974</v>
      </c>
      <c r="DR47" s="54">
        <f t="shared" si="9"/>
        <v>3419839.55</v>
      </c>
      <c r="DS47" s="54">
        <f t="shared" si="9"/>
        <v>3413841.87</v>
      </c>
      <c r="DT47" s="54">
        <f t="shared" si="9"/>
        <v>3407815.801</v>
      </c>
      <c r="DU47" s="54">
        <f t="shared" si="9"/>
        <v>3401761.208</v>
      </c>
      <c r="DV47" s="54">
        <f t="shared" si="9"/>
        <v>3395677.957</v>
      </c>
      <c r="DW47" s="54">
        <f t="shared" si="9"/>
        <v>3389565.913</v>
      </c>
      <c r="DX47" s="54">
        <f t="shared" si="9"/>
        <v>3383424.937</v>
      </c>
      <c r="DY47" s="54">
        <f t="shared" si="9"/>
        <v>3377254.895</v>
      </c>
      <c r="DZ47" s="54">
        <f t="shared" si="9"/>
        <v>3371055.648</v>
      </c>
      <c r="EA47" s="54">
        <f t="shared" si="9"/>
        <v>3364827.057</v>
      </c>
      <c r="EB47" s="54">
        <f t="shared" si="9"/>
        <v>3358568.985</v>
      </c>
      <c r="EC47" s="54">
        <f t="shared" si="9"/>
        <v>3352281.291</v>
      </c>
      <c r="ED47" s="54">
        <f t="shared" si="9"/>
        <v>3345963.835</v>
      </c>
      <c r="EE47" s="54">
        <f t="shared" si="9"/>
        <v>3339616.476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9" t="s">
        <v>198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199</v>
      </c>
      <c r="D50" s="54">
        <f>SUM(E38:P38)/Assumptions!$D64*IF(D1=Assumptions!$D68*12,1,0)</f>
        <v>0</v>
      </c>
      <c r="E50" s="54">
        <f>SUM(F38:Q38)/Assumptions!$D64*IF(E1=Assumptions!$D68*12,1,0)</f>
        <v>0</v>
      </c>
      <c r="F50" s="54">
        <f>SUM(G38:R38)/Assumptions!$D64*IF(F1=Assumptions!$D68*12,1,0)</f>
        <v>0</v>
      </c>
      <c r="G50" s="54">
        <f>SUM(H38:S38)/Assumptions!$D64*IF(G1=Assumptions!$D68*12,1,0)</f>
        <v>0</v>
      </c>
      <c r="H50" s="54">
        <f>SUM(I38:T38)/Assumptions!$D64*IF(H1=Assumptions!$D68*12,1,0)</f>
        <v>0</v>
      </c>
      <c r="I50" s="54">
        <f>SUM(J38:U38)/Assumptions!$D64*IF(I1=Assumptions!$D68*12,1,0)</f>
        <v>0</v>
      </c>
      <c r="J50" s="54">
        <f>SUM(K38:V38)/Assumptions!$D64*IF(J1=Assumptions!$D68*12,1,0)</f>
        <v>0</v>
      </c>
      <c r="K50" s="54">
        <f>SUM(L38:W38)/Assumptions!$D64*IF(K1=Assumptions!$D68*12,1,0)</f>
        <v>0</v>
      </c>
      <c r="L50" s="54">
        <f>SUM(M38:X38)/Assumptions!$D64*IF(L1=Assumptions!$D68*12,1,0)</f>
        <v>0</v>
      </c>
      <c r="M50" s="54">
        <f>SUM(N38:Y38)/Assumptions!$D64*IF(M1=Assumptions!$D68*12,1,0)</f>
        <v>0</v>
      </c>
      <c r="N50" s="54">
        <f>SUM(O38:Z38)/Assumptions!$D64*IF(N1=Assumptions!$D68*12,1,0)</f>
        <v>0</v>
      </c>
      <c r="O50" s="54">
        <f>SUM(P38:AA38)/Assumptions!$D64*IF(O1=Assumptions!$D68*12,1,0)</f>
        <v>0</v>
      </c>
      <c r="P50" s="54">
        <f>SUM(Q38:AB38)/Assumptions!$D64*IF(P1=Assumptions!$D68*12,1,0)</f>
        <v>0</v>
      </c>
      <c r="Q50" s="54">
        <f>SUM(R38:AC38)/Assumptions!$D64*IF(Q1=Assumptions!$D68*12,1,0)</f>
        <v>0</v>
      </c>
      <c r="R50" s="54">
        <f>SUM(S38:AD38)/Assumptions!$D64*IF(R1=Assumptions!$D68*12,1,0)</f>
        <v>0</v>
      </c>
      <c r="S50" s="54">
        <f>SUM(T38:AE38)/Assumptions!$D64*IF(S1=Assumptions!$D68*12,1,0)</f>
        <v>0</v>
      </c>
      <c r="T50" s="54">
        <f>SUM(U38:AF38)/Assumptions!$D64*IF(T1=Assumptions!$D68*12,1,0)</f>
        <v>0</v>
      </c>
      <c r="U50" s="54">
        <f>SUM(V38:AG38)/Assumptions!$D64*IF(U1=Assumptions!$D68*12,1,0)</f>
        <v>0</v>
      </c>
      <c r="V50" s="54">
        <f>SUM(W38:AH38)/Assumptions!$D64*IF(V1=Assumptions!$D68*12,1,0)</f>
        <v>0</v>
      </c>
      <c r="W50" s="54">
        <f>SUM(X38:AI38)/Assumptions!$D64*IF(W1=Assumptions!$D68*12,1,0)</f>
        <v>0</v>
      </c>
      <c r="X50" s="54">
        <f>SUM(Y38:AJ38)/Assumptions!$D64*IF(X1=Assumptions!$D68*12,1,0)</f>
        <v>0</v>
      </c>
      <c r="Y50" s="54">
        <f>SUM(Z38:AK38)/Assumptions!$D64*IF(Y1=Assumptions!$D68*12,1,0)</f>
        <v>0</v>
      </c>
      <c r="Z50" s="54">
        <f>SUM(AA38:AL38)/Assumptions!$D64*IF(Z1=Assumptions!$D68*12,1,0)</f>
        <v>0</v>
      </c>
      <c r="AA50" s="54">
        <f>SUM(AB38:AM38)/Assumptions!$D64*IF(AA1=Assumptions!$D68*12,1,0)</f>
        <v>0</v>
      </c>
      <c r="AB50" s="54">
        <f>SUM(AC38:AN38)/Assumptions!$D64*IF(AB1=Assumptions!$D68*12,1,0)</f>
        <v>0</v>
      </c>
      <c r="AC50" s="54">
        <f>SUM(AD38:AO38)/Assumptions!$D64*IF(AC1=Assumptions!$D68*12,1,0)</f>
        <v>0</v>
      </c>
      <c r="AD50" s="54">
        <f>SUM(AE38:AP38)/Assumptions!$D64*IF(AD1=Assumptions!$D68*12,1,0)</f>
        <v>0</v>
      </c>
      <c r="AE50" s="54">
        <f>SUM(AF38:AQ38)/Assumptions!$D64*IF(AE1=Assumptions!$D68*12,1,0)</f>
        <v>0</v>
      </c>
      <c r="AF50" s="54">
        <f>SUM(AG38:AR38)/Assumptions!$D64*IF(AF1=Assumptions!$D68*12,1,0)</f>
        <v>0</v>
      </c>
      <c r="AG50" s="54">
        <f>SUM(AH38:AS38)/Assumptions!$D64*IF(AG1=Assumptions!$D68*12,1,0)</f>
        <v>0</v>
      </c>
      <c r="AH50" s="54">
        <f>SUM(AI38:AT38)/Assumptions!$D64*IF(AH1=Assumptions!$D68*12,1,0)</f>
        <v>0</v>
      </c>
      <c r="AI50" s="54">
        <f>SUM(AJ38:AU38)/Assumptions!$D64*IF(AI1=Assumptions!$D68*12,1,0)</f>
        <v>0</v>
      </c>
      <c r="AJ50" s="54">
        <f>SUM(AK38:AV38)/Assumptions!$D64*IF(AJ1=Assumptions!$D68*12,1,0)</f>
        <v>0</v>
      </c>
      <c r="AK50" s="54">
        <f>SUM(AL38:AW38)/Assumptions!$D64*IF(AK1=Assumptions!$D68*12,1,0)</f>
        <v>0</v>
      </c>
      <c r="AL50" s="54">
        <f>SUM(AM38:AX38)/Assumptions!$D64*IF(AL1=Assumptions!$D68*12,1,0)</f>
        <v>0</v>
      </c>
      <c r="AM50" s="54">
        <f>SUM(AN38:AY38)/Assumptions!$D64*IF(AM1=Assumptions!$D68*12,1,0)</f>
        <v>0</v>
      </c>
      <c r="AN50" s="54">
        <f>SUM(AO38:AZ38)/Assumptions!$D64*IF(AN1=Assumptions!$D68*12,1,0)</f>
        <v>0</v>
      </c>
      <c r="AO50" s="54">
        <f>SUM(AP38:BA38)/Assumptions!$D64*IF(AO1=Assumptions!$D68*12,1,0)</f>
        <v>0</v>
      </c>
      <c r="AP50" s="54">
        <f>SUM(AQ38:BB38)/Assumptions!$D64*IF(AP1=Assumptions!$D68*12,1,0)</f>
        <v>0</v>
      </c>
      <c r="AQ50" s="54">
        <f>SUM(AR38:BC38)/Assumptions!$D64*IF(AQ1=Assumptions!$D68*12,1,0)</f>
        <v>0</v>
      </c>
      <c r="AR50" s="54">
        <f>SUM(AS38:BD38)/Assumptions!$D64*IF(AR1=Assumptions!$D68*12,1,0)</f>
        <v>0</v>
      </c>
      <c r="AS50" s="54">
        <f>SUM(AT38:BE38)/Assumptions!$D64*IF(AS1=Assumptions!$D68*12,1,0)</f>
        <v>0</v>
      </c>
      <c r="AT50" s="54">
        <f>SUM(AU38:BF38)/Assumptions!$D64*IF(AT1=Assumptions!$D68*12,1,0)</f>
        <v>0</v>
      </c>
      <c r="AU50" s="54">
        <f>SUM(AV38:BG38)/Assumptions!$D64*IF(AU1=Assumptions!$D68*12,1,0)</f>
        <v>0</v>
      </c>
      <c r="AV50" s="54">
        <f>SUM(AW38:BH38)/Assumptions!$D64*IF(AV1=Assumptions!$D68*12,1,0)</f>
        <v>0</v>
      </c>
      <c r="AW50" s="54">
        <f>SUM(AX38:BI38)/Assumptions!$D64*IF(AW1=Assumptions!$D68*12,1,0)</f>
        <v>0</v>
      </c>
      <c r="AX50" s="54">
        <f>SUM(AY38:BJ38)/Assumptions!$D64*IF(AX1=Assumptions!$D68*12,1,0)</f>
        <v>0</v>
      </c>
      <c r="AY50" s="54">
        <f>SUM(AZ38:BK38)/Assumptions!$D64*IF(AY1=Assumptions!$D68*12,1,0)</f>
        <v>0</v>
      </c>
      <c r="AZ50" s="54">
        <f>SUM(BA38:BL38)/Assumptions!$D64*IF(AZ1=Assumptions!$D68*12,1,0)</f>
        <v>0</v>
      </c>
      <c r="BA50" s="54">
        <f>SUM(BB38:BM38)/Assumptions!$D64*IF(BA1=Assumptions!$D68*12,1,0)</f>
        <v>0</v>
      </c>
      <c r="BB50" s="54">
        <f>SUM(BC38:BN38)/Assumptions!$D64*IF(BB1=Assumptions!$D68*12,1,0)</f>
        <v>0</v>
      </c>
      <c r="BC50" s="54">
        <f>SUM(BD38:BO38)/Assumptions!$D64*IF(BC1=Assumptions!$D68*12,1,0)</f>
        <v>0</v>
      </c>
      <c r="BD50" s="54">
        <f>SUM(BE38:BP38)/Assumptions!$D64*IF(BD1=Assumptions!$D68*12,1,0)</f>
        <v>0</v>
      </c>
      <c r="BE50" s="54">
        <f>SUM(BF38:BQ38)/Assumptions!$D64*IF(BE1=Assumptions!$D68*12,1,0)</f>
        <v>0</v>
      </c>
      <c r="BF50" s="54">
        <f>SUM(BG38:BR38)/Assumptions!$D64*IF(BF1=Assumptions!$D68*12,1,0)</f>
        <v>0</v>
      </c>
      <c r="BG50" s="54">
        <f>SUM(BH38:BS38)/Assumptions!$D64*IF(BG1=Assumptions!$D68*12,1,0)</f>
        <v>0</v>
      </c>
      <c r="BH50" s="54">
        <f>SUM(BI38:BT38)/Assumptions!$D64*IF(BH1=Assumptions!$D68*12,1,0)</f>
        <v>0</v>
      </c>
      <c r="BI50" s="54">
        <f>SUM(BJ38:BU38)/Assumptions!$D64*IF(BI1=Assumptions!$D68*12,1,0)</f>
        <v>0</v>
      </c>
      <c r="BJ50" s="54">
        <f>SUM(BK38:BV38)/Assumptions!$D64*IF(BJ1=Assumptions!$D68*12,1,0)</f>
        <v>0</v>
      </c>
      <c r="BK50" s="54">
        <f>SUM(BL38:BW38)/Assumptions!$D64*IF(BK1=Assumptions!$D68*12,1,0)</f>
        <v>0</v>
      </c>
      <c r="BL50" s="54">
        <f>SUM(BM38:BX38)/Assumptions!$D64*IF(BL1=Assumptions!$D68*12,1,0)</f>
        <v>0</v>
      </c>
      <c r="BM50" s="54">
        <f>SUM(BN38:BY38)/Assumptions!$D64*IF(BM1=Assumptions!$D68*12,1,0)</f>
        <v>0</v>
      </c>
      <c r="BN50" s="54">
        <f>SUM(BO38:BZ38)/Assumptions!$D64*IF(BN1=Assumptions!$D68*12,1,0)</f>
        <v>0</v>
      </c>
      <c r="BO50" s="54">
        <f>SUM(BP38:CA38)/Assumptions!$D64*IF(BO1=Assumptions!$D68*12,1,0)</f>
        <v>0</v>
      </c>
      <c r="BP50" s="54">
        <f>SUM(BQ38:CB38)/Assumptions!$D64*IF(BP1=Assumptions!$D68*12,1,0)</f>
        <v>0</v>
      </c>
      <c r="BQ50" s="54">
        <f>SUM(BR38:CC38)/Assumptions!$D64*IF(BQ1=Assumptions!$D68*12,1,0)</f>
        <v>0</v>
      </c>
      <c r="BR50" s="54">
        <f>SUM(BS38:CD38)/Assumptions!$D64*IF(BR1=Assumptions!$D68*12,1,0)</f>
        <v>0</v>
      </c>
      <c r="BS50" s="54">
        <f>SUM(BT38:CE38)/Assumptions!$D64*IF(BS1=Assumptions!$D68*12,1,0)</f>
        <v>0</v>
      </c>
      <c r="BT50" s="54">
        <f>SUM(BU38:CF38)/Assumptions!$D64*IF(BT1=Assumptions!$D68*12,1,0)</f>
        <v>0</v>
      </c>
      <c r="BU50" s="54">
        <f>SUM(BV38:CG38)/Assumptions!$D64*IF(BU1=Assumptions!$D68*12,1,0)</f>
        <v>0</v>
      </c>
      <c r="BV50" s="54">
        <f>SUM(BW38:CH38)/Assumptions!$D64*IF(BV1=Assumptions!$D68*12,1,0)</f>
        <v>0</v>
      </c>
      <c r="BW50" s="54">
        <f>SUM(BX38:CI38)/Assumptions!$D64*IF(BW1=Assumptions!$D68*12,1,0)</f>
        <v>0</v>
      </c>
      <c r="BX50" s="54">
        <f>SUM(BY38:CJ38)/Assumptions!$D64*IF(BX1=Assumptions!$D68*12,1,0)</f>
        <v>0</v>
      </c>
      <c r="BY50" s="54">
        <f>SUM(BZ38:CK38)/Assumptions!$D64*IF(BY1=Assumptions!$D68*12,1,0)</f>
        <v>0</v>
      </c>
      <c r="BZ50" s="54">
        <f>SUM(CA38:CL38)/Assumptions!$D64*IF(BZ1=Assumptions!$D68*12,1,0)</f>
        <v>0</v>
      </c>
      <c r="CA50" s="54">
        <f>SUM(CB38:CM38)/Assumptions!$D64*IF(CA1=Assumptions!$D68*12,1,0)</f>
        <v>0</v>
      </c>
      <c r="CB50" s="54">
        <f>SUM(CC38:CN38)/Assumptions!$D64*IF(CB1=Assumptions!$D68*12,1,0)</f>
        <v>0</v>
      </c>
      <c r="CC50" s="54">
        <f>SUM(CD38:CO38)/Assumptions!$D64*IF(CC1=Assumptions!$D68*12,1,0)</f>
        <v>0</v>
      </c>
      <c r="CD50" s="54">
        <f>SUM(CE38:CP38)/Assumptions!$D64*IF(CD1=Assumptions!$D68*12,1,0)</f>
        <v>0</v>
      </c>
      <c r="CE50" s="54">
        <f>SUM(CF38:CQ38)/Assumptions!$D64*IF(CE1=Assumptions!$D68*12,1,0)</f>
        <v>0</v>
      </c>
      <c r="CF50" s="54">
        <f>SUM(CG38:CR38)/Assumptions!$D64*IF(CF1=Assumptions!$D68*12,1,0)</f>
        <v>0</v>
      </c>
      <c r="CG50" s="54">
        <f>SUM(CH38:CS38)/Assumptions!$D64*IF(CG1=Assumptions!$D68*12,1,0)</f>
        <v>0</v>
      </c>
      <c r="CH50" s="54">
        <f>SUM(CI38:CT38)/Assumptions!$D64*IF(CH1=Assumptions!$D68*12,1,0)</f>
        <v>0</v>
      </c>
      <c r="CI50" s="54">
        <f>SUM(CJ38:CU38)/Assumptions!$D64*IF(CI1=Assumptions!$D68*12,1,0)</f>
        <v>0</v>
      </c>
      <c r="CJ50" s="54">
        <f>SUM(CK38:CV38)/Assumptions!$D64*IF(CJ1=Assumptions!$D68*12,1,0)</f>
        <v>0</v>
      </c>
      <c r="CK50" s="54">
        <f>SUM(CL38:CW38)/Assumptions!$D64*IF(CK1=Assumptions!$D68*12,1,0)</f>
        <v>0</v>
      </c>
      <c r="CL50" s="54">
        <f>SUM(CM38:CX38)/Assumptions!$D64*IF(CL1=Assumptions!$D68*12,1,0)</f>
        <v>0</v>
      </c>
      <c r="CM50" s="54">
        <f>SUM(CN38:CY38)/Assumptions!$D64*IF(CM1=Assumptions!$D68*12,1,0)</f>
        <v>0</v>
      </c>
      <c r="CN50" s="54">
        <f>SUM(CO38:CZ38)/Assumptions!$D64*IF(CN1=Assumptions!$D68*12,1,0)</f>
        <v>0</v>
      </c>
      <c r="CO50" s="54">
        <f>SUM(CP38:DA38)/Assumptions!$D64*IF(CO1=Assumptions!$D68*12,1,0)</f>
        <v>0</v>
      </c>
      <c r="CP50" s="54">
        <f>SUM(CQ38:DB38)/Assumptions!$D64*IF(CP1=Assumptions!$D68*12,1,0)</f>
        <v>0</v>
      </c>
      <c r="CQ50" s="54">
        <f>SUM(CR38:DC38)/Assumptions!$D64*IF(CQ1=Assumptions!$D68*12,1,0)</f>
        <v>0</v>
      </c>
      <c r="CR50" s="54">
        <f>SUM(CS38:DD38)/Assumptions!$D64*IF(CR1=Assumptions!$D68*12,1,0)</f>
        <v>0</v>
      </c>
      <c r="CS50" s="54">
        <f>SUM(CT38:DE38)/Assumptions!$D64*IF(CS1=Assumptions!$D68*12,1,0)</f>
        <v>0</v>
      </c>
      <c r="CT50" s="54">
        <f>SUM(CU38:DF38)/Assumptions!$D64*IF(CT1=Assumptions!$D68*12,1,0)</f>
        <v>0</v>
      </c>
      <c r="CU50" s="54">
        <f>SUM(CV38:DG38)/Assumptions!$D64*IF(CU1=Assumptions!$D68*12,1,0)</f>
        <v>0</v>
      </c>
      <c r="CV50" s="54">
        <f>SUM(CW38:DH38)/Assumptions!$D64*IF(CV1=Assumptions!$D68*12,1,0)</f>
        <v>0</v>
      </c>
      <c r="CW50" s="54">
        <f>SUM(CX38:DI38)/Assumptions!$D64*IF(CW1=Assumptions!$D68*12,1,0)</f>
        <v>0</v>
      </c>
      <c r="CX50" s="54">
        <f>SUM(CY38:DJ38)/Assumptions!$D64*IF(CX1=Assumptions!$D68*12,1,0)</f>
        <v>0</v>
      </c>
      <c r="CY50" s="54">
        <f>SUM(CZ38:DK38)/Assumptions!$D64*IF(CY1=Assumptions!$D68*12,1,0)</f>
        <v>0</v>
      </c>
      <c r="CZ50" s="54">
        <f>SUM(DA38:DL38)/Assumptions!$D64*IF(CZ1=Assumptions!$D68*12,1,0)</f>
        <v>0</v>
      </c>
      <c r="DA50" s="54">
        <f>SUM(DB38:DM38)/Assumptions!$D64*IF(DA1=Assumptions!$D68*12,1,0)</f>
        <v>0</v>
      </c>
      <c r="DB50" s="54">
        <f>SUM(DC38:DN38)/Assumptions!$D64*IF(DB1=Assumptions!$D68*12,1,0)</f>
        <v>0</v>
      </c>
      <c r="DC50" s="54">
        <f>SUM(DD38:DO38)/Assumptions!$D64*IF(DC1=Assumptions!$D68*12,1,0)</f>
        <v>0</v>
      </c>
      <c r="DD50" s="54">
        <f>SUM(DE38:DP38)/Assumptions!$D64*IF(DD1=Assumptions!$D68*12,1,0)</f>
        <v>0</v>
      </c>
      <c r="DE50" s="54">
        <f>SUM(DF38:DQ38)/Assumptions!$D64*IF(DE1=Assumptions!$D68*12,1,0)</f>
        <v>0</v>
      </c>
      <c r="DF50" s="54">
        <f>SUM(DG38:DR38)/Assumptions!$D64*IF(DF1=Assumptions!$D68*12,1,0)</f>
        <v>0</v>
      </c>
      <c r="DG50" s="54">
        <f>SUM(DH38:DS38)/Assumptions!$D64*IF(DG1=Assumptions!$D68*12,1,0)</f>
        <v>0</v>
      </c>
      <c r="DH50" s="54">
        <f>SUM(DI38:DT38)/Assumptions!$D64*IF(DH1=Assumptions!$D68*12,1,0)</f>
        <v>0</v>
      </c>
      <c r="DI50" s="54">
        <f>SUM(DJ38:DU38)/Assumptions!$D64*IF(DI1=Assumptions!$D68*12,1,0)</f>
        <v>0</v>
      </c>
      <c r="DJ50" s="54">
        <f>SUM(DK38:DV38)/Assumptions!$D64*IF(DJ1=Assumptions!$D68*12,1,0)</f>
        <v>0</v>
      </c>
      <c r="DK50" s="54">
        <f>SUM(DL38:DW38)/Assumptions!$D64*IF(DK1=Assumptions!$D68*12,1,0)</f>
        <v>0</v>
      </c>
      <c r="DL50" s="54">
        <f>SUM(DM38:DX38)/Assumptions!$D64*IF(DL1=Assumptions!$D68*12,1,0)</f>
        <v>0</v>
      </c>
      <c r="DM50" s="54">
        <f>SUM(DN38:DY38)/Assumptions!$D64*IF(DM1=Assumptions!$D68*12,1,0)</f>
        <v>0</v>
      </c>
      <c r="DN50" s="54">
        <f>SUM(DO38:DZ38)/Assumptions!$D64*IF(DN1=Assumptions!$D68*12,1,0)</f>
        <v>0</v>
      </c>
      <c r="DO50" s="54">
        <f>SUM(DP38:EA38)/Assumptions!$D64*IF(DO1=Assumptions!$D68*12,1,0)</f>
        <v>0</v>
      </c>
      <c r="DP50" s="54">
        <f>SUM(DQ38:EB38)/Assumptions!$D64*IF(DP1=Assumptions!$D68*12,1,0)</f>
        <v>0</v>
      </c>
      <c r="DQ50" s="54">
        <f>SUM(DR38:EC38)/Assumptions!$D64*IF(DQ1=Assumptions!$D68*12,1,0)</f>
        <v>0</v>
      </c>
      <c r="DR50" s="54">
        <f>SUM(DS38:ED38)/Assumptions!$D64*IF(DR1=Assumptions!$D68*12,1,0)</f>
        <v>0</v>
      </c>
      <c r="DS50" s="54">
        <f>SUM(DT38:EE38)/Assumptions!$D64*IF(DS1=Assumptions!$D68*12,1,0)</f>
        <v>8377672.235</v>
      </c>
      <c r="DT50" s="54">
        <f>SUM(DU38:EF38)/Assumptions!$D64*IF(DT1=Assumptions!$D68*12,1,0)</f>
        <v>0</v>
      </c>
      <c r="DU50" s="54">
        <f>SUM(DV38:EG38)/Assumptions!$D64*IF(DU1=Assumptions!$D68*12,1,0)</f>
        <v>0</v>
      </c>
      <c r="DV50" s="54">
        <f>SUM(DW38:EH38)/Assumptions!$D64*IF(DV1=Assumptions!$D68*12,1,0)</f>
        <v>0</v>
      </c>
      <c r="DW50" s="54">
        <f>SUM(DX38:EI38)/Assumptions!$D64*IF(DW1=Assumptions!$D68*12,1,0)</f>
        <v>0</v>
      </c>
      <c r="DX50" s="54">
        <f>SUM(DY38:EJ38)/Assumptions!$D64*IF(DX1=Assumptions!$D68*12,1,0)</f>
        <v>0</v>
      </c>
      <c r="DY50" s="54">
        <f>SUM(DZ38:EK38)/Assumptions!$D64*IF(DY1=Assumptions!$D68*12,1,0)</f>
        <v>0</v>
      </c>
      <c r="DZ50" s="54">
        <f>SUM(EA38:EL38)/Assumptions!$D64*IF(DZ1=Assumptions!$D68*12,1,0)</f>
        <v>0</v>
      </c>
      <c r="EA50" s="54">
        <f>SUM(EB38:EM38)/Assumptions!$D64*IF(EA1=Assumptions!$D68*12,1,0)</f>
        <v>0</v>
      </c>
      <c r="EB50" s="54">
        <f>SUM(EC38:EN38)/Assumptions!$D64*IF(EB1=Assumptions!$D68*12,1,0)</f>
        <v>0</v>
      </c>
      <c r="EC50" s="54">
        <f>SUM(ED38:EO38)/Assumptions!$D64*IF(EC1=Assumptions!$D68*12,1,0)</f>
        <v>0</v>
      </c>
      <c r="ED50" s="54">
        <f>SUM(EE38:EP38)/Assumptions!$D64*IF(ED1=Assumptions!$D68*12,1,0)</f>
        <v>0</v>
      </c>
      <c r="EE50" s="54">
        <f>SUM(EF38:EQ38)/Assumptions!$D64*IF(EE1=Assumptions!$D68*12,1,0)</f>
        <v>0</v>
      </c>
    </row>
    <row r="51" ht="15.75" customHeight="1">
      <c r="A51" s="1"/>
      <c r="B51" s="1"/>
      <c r="C51" s="1" t="s">
        <v>120</v>
      </c>
      <c r="D51" s="54">
        <f>-D50*Assumptions!$D65</f>
        <v>0</v>
      </c>
      <c r="E51" s="54">
        <f>-E50*Assumptions!$D65</f>
        <v>0</v>
      </c>
      <c r="F51" s="54">
        <f>-F50*Assumptions!$D65</f>
        <v>0</v>
      </c>
      <c r="G51" s="54">
        <f>-G50*Assumptions!$D65</f>
        <v>0</v>
      </c>
      <c r="H51" s="54">
        <f>-H50*Assumptions!$D65</f>
        <v>0</v>
      </c>
      <c r="I51" s="54">
        <f>-I50*Assumptions!$D65</f>
        <v>0</v>
      </c>
      <c r="J51" s="54">
        <f>-J50*Assumptions!$D65</f>
        <v>0</v>
      </c>
      <c r="K51" s="54">
        <f>-K50*Assumptions!$D65</f>
        <v>0</v>
      </c>
      <c r="L51" s="54">
        <f>-L50*Assumptions!$D65</f>
        <v>0</v>
      </c>
      <c r="M51" s="54">
        <f>-M50*Assumptions!$D65</f>
        <v>0</v>
      </c>
      <c r="N51" s="54">
        <f>-N50*Assumptions!$D65</f>
        <v>0</v>
      </c>
      <c r="O51" s="54">
        <f>-O50*Assumptions!$D65</f>
        <v>0</v>
      </c>
      <c r="P51" s="54">
        <f>-P50*Assumptions!$D65</f>
        <v>0</v>
      </c>
      <c r="Q51" s="54">
        <f>-Q50*Assumptions!$D65</f>
        <v>0</v>
      </c>
      <c r="R51" s="54">
        <f>-R50*Assumptions!$D65</f>
        <v>0</v>
      </c>
      <c r="S51" s="54">
        <f>-S50*Assumptions!$D65</f>
        <v>0</v>
      </c>
      <c r="T51" s="54">
        <f>-T50*Assumptions!$D65</f>
        <v>0</v>
      </c>
      <c r="U51" s="54">
        <f>-U50*Assumptions!$D65</f>
        <v>0</v>
      </c>
      <c r="V51" s="54">
        <f>-V50*Assumptions!$D65</f>
        <v>0</v>
      </c>
      <c r="W51" s="54">
        <f>-W50*Assumptions!$D65</f>
        <v>0</v>
      </c>
      <c r="X51" s="54">
        <f>-X50*Assumptions!$D65</f>
        <v>0</v>
      </c>
      <c r="Y51" s="54">
        <f>-Y50*Assumptions!$D65</f>
        <v>0</v>
      </c>
      <c r="Z51" s="54">
        <f>-Z50*Assumptions!$D65</f>
        <v>0</v>
      </c>
      <c r="AA51" s="54">
        <f>-AA50*Assumptions!$D65</f>
        <v>0</v>
      </c>
      <c r="AB51" s="54">
        <f>-AB50*Assumptions!$D65</f>
        <v>0</v>
      </c>
      <c r="AC51" s="54">
        <f>-AC50*Assumptions!$D65</f>
        <v>0</v>
      </c>
      <c r="AD51" s="54">
        <f>-AD50*Assumptions!$D65</f>
        <v>0</v>
      </c>
      <c r="AE51" s="54">
        <f>-AE50*Assumptions!$D65</f>
        <v>0</v>
      </c>
      <c r="AF51" s="54">
        <f>-AF50*Assumptions!$D65</f>
        <v>0</v>
      </c>
      <c r="AG51" s="54">
        <f>-AG50*Assumptions!$D65</f>
        <v>0</v>
      </c>
      <c r="AH51" s="54">
        <f>-AH50*Assumptions!$D65</f>
        <v>0</v>
      </c>
      <c r="AI51" s="54">
        <f>-AI50*Assumptions!$D65</f>
        <v>0</v>
      </c>
      <c r="AJ51" s="54">
        <f>-AJ50*Assumptions!$D65</f>
        <v>0</v>
      </c>
      <c r="AK51" s="54">
        <f>-AK50*Assumptions!$D65</f>
        <v>0</v>
      </c>
      <c r="AL51" s="54">
        <f>-AL50*Assumptions!$D65</f>
        <v>0</v>
      </c>
      <c r="AM51" s="54">
        <f>-AM50*Assumptions!$D65</f>
        <v>0</v>
      </c>
      <c r="AN51" s="54">
        <f>-AN50*Assumptions!$D65</f>
        <v>0</v>
      </c>
      <c r="AO51" s="54">
        <f>-AO50*Assumptions!$D65</f>
        <v>0</v>
      </c>
      <c r="AP51" s="54">
        <f>-AP50*Assumptions!$D65</f>
        <v>0</v>
      </c>
      <c r="AQ51" s="54">
        <f>-AQ50*Assumptions!$D65</f>
        <v>0</v>
      </c>
      <c r="AR51" s="54">
        <f>-AR50*Assumptions!$D65</f>
        <v>0</v>
      </c>
      <c r="AS51" s="54">
        <f>-AS50*Assumptions!$D65</f>
        <v>0</v>
      </c>
      <c r="AT51" s="54">
        <f>-AT50*Assumptions!$D65</f>
        <v>0</v>
      </c>
      <c r="AU51" s="54">
        <f>-AU50*Assumptions!$D65</f>
        <v>0</v>
      </c>
      <c r="AV51" s="54">
        <f>-AV50*Assumptions!$D65</f>
        <v>0</v>
      </c>
      <c r="AW51" s="54">
        <f>-AW50*Assumptions!$D65</f>
        <v>0</v>
      </c>
      <c r="AX51" s="54">
        <f>-AX50*Assumptions!$D65</f>
        <v>0</v>
      </c>
      <c r="AY51" s="54">
        <f>-AY50*Assumptions!$D65</f>
        <v>0</v>
      </c>
      <c r="AZ51" s="54">
        <f>-AZ50*Assumptions!$D65</f>
        <v>0</v>
      </c>
      <c r="BA51" s="54">
        <f>-BA50*Assumptions!$D65</f>
        <v>0</v>
      </c>
      <c r="BB51" s="54">
        <f>-BB50*Assumptions!$D65</f>
        <v>0</v>
      </c>
      <c r="BC51" s="54">
        <f>-BC50*Assumptions!$D65</f>
        <v>0</v>
      </c>
      <c r="BD51" s="54">
        <f>-BD50*Assumptions!$D65</f>
        <v>0</v>
      </c>
      <c r="BE51" s="54">
        <f>-BE50*Assumptions!$D65</f>
        <v>0</v>
      </c>
      <c r="BF51" s="54">
        <f>-BF50*Assumptions!$D65</f>
        <v>0</v>
      </c>
      <c r="BG51" s="54">
        <f>-BG50*Assumptions!$D65</f>
        <v>0</v>
      </c>
      <c r="BH51" s="54">
        <f>-BH50*Assumptions!$D65</f>
        <v>0</v>
      </c>
      <c r="BI51" s="54">
        <f>-BI50*Assumptions!$D65</f>
        <v>0</v>
      </c>
      <c r="BJ51" s="54">
        <f>-BJ50*Assumptions!$D65</f>
        <v>0</v>
      </c>
      <c r="BK51" s="54">
        <f>-BK50*Assumptions!$D65</f>
        <v>0</v>
      </c>
      <c r="BL51" s="54">
        <f>-BL50*Assumptions!$D65</f>
        <v>0</v>
      </c>
      <c r="BM51" s="54">
        <f>-BM50*Assumptions!$D65</f>
        <v>0</v>
      </c>
      <c r="BN51" s="54">
        <f>-BN50*Assumptions!$D65</f>
        <v>0</v>
      </c>
      <c r="BO51" s="54">
        <f>-BO50*Assumptions!$D65</f>
        <v>0</v>
      </c>
      <c r="BP51" s="54">
        <f>-BP50*Assumptions!$D65</f>
        <v>0</v>
      </c>
      <c r="BQ51" s="54">
        <f>-BQ50*Assumptions!$D65</f>
        <v>0</v>
      </c>
      <c r="BR51" s="54">
        <f>-BR50*Assumptions!$D65</f>
        <v>0</v>
      </c>
      <c r="BS51" s="54">
        <f>-BS50*Assumptions!$D65</f>
        <v>0</v>
      </c>
      <c r="BT51" s="54">
        <f>-BT50*Assumptions!$D65</f>
        <v>0</v>
      </c>
      <c r="BU51" s="54">
        <f>-BU50*Assumptions!$D65</f>
        <v>0</v>
      </c>
      <c r="BV51" s="54">
        <f>-BV50*Assumptions!$D65</f>
        <v>0</v>
      </c>
      <c r="BW51" s="54">
        <f>-BW50*Assumptions!$D65</f>
        <v>0</v>
      </c>
      <c r="BX51" s="54">
        <f>-BX50*Assumptions!$D65</f>
        <v>0</v>
      </c>
      <c r="BY51" s="54">
        <f>-BY50*Assumptions!$D65</f>
        <v>0</v>
      </c>
      <c r="BZ51" s="54">
        <f>-BZ50*Assumptions!$D65</f>
        <v>0</v>
      </c>
      <c r="CA51" s="54">
        <f>-CA50*Assumptions!$D65</f>
        <v>0</v>
      </c>
      <c r="CB51" s="54">
        <f>-CB50*Assumptions!$D65</f>
        <v>0</v>
      </c>
      <c r="CC51" s="54">
        <f>-CC50*Assumptions!$D65</f>
        <v>0</v>
      </c>
      <c r="CD51" s="54">
        <f>-CD50*Assumptions!$D65</f>
        <v>0</v>
      </c>
      <c r="CE51" s="54">
        <f>-CE50*Assumptions!$D65</f>
        <v>0</v>
      </c>
      <c r="CF51" s="54">
        <f>-CF50*Assumptions!$D65</f>
        <v>0</v>
      </c>
      <c r="CG51" s="54">
        <f>-CG50*Assumptions!$D65</f>
        <v>0</v>
      </c>
      <c r="CH51" s="54">
        <f>-CH50*Assumptions!$D65</f>
        <v>0</v>
      </c>
      <c r="CI51" s="54">
        <f>-CI50*Assumptions!$D65</f>
        <v>0</v>
      </c>
      <c r="CJ51" s="54">
        <f>-CJ50*Assumptions!$D65</f>
        <v>0</v>
      </c>
      <c r="CK51" s="54">
        <f>-CK50*Assumptions!$D65</f>
        <v>0</v>
      </c>
      <c r="CL51" s="54">
        <f>-CL50*Assumptions!$D65</f>
        <v>0</v>
      </c>
      <c r="CM51" s="54">
        <f>-CM50*Assumptions!$D65</f>
        <v>0</v>
      </c>
      <c r="CN51" s="54">
        <f>-CN50*Assumptions!$D65</f>
        <v>0</v>
      </c>
      <c r="CO51" s="54">
        <f>-CO50*Assumptions!$D65</f>
        <v>0</v>
      </c>
      <c r="CP51" s="54">
        <f>-CP50*Assumptions!$D65</f>
        <v>0</v>
      </c>
      <c r="CQ51" s="54">
        <f>-CQ50*Assumptions!$D65</f>
        <v>0</v>
      </c>
      <c r="CR51" s="54">
        <f>-CR50*Assumptions!$D65</f>
        <v>0</v>
      </c>
      <c r="CS51" s="54">
        <f>-CS50*Assumptions!$D65</f>
        <v>0</v>
      </c>
      <c r="CT51" s="54">
        <f>-CT50*Assumptions!$D65</f>
        <v>0</v>
      </c>
      <c r="CU51" s="54">
        <f>-CU50*Assumptions!$D65</f>
        <v>0</v>
      </c>
      <c r="CV51" s="54">
        <f>-CV50*Assumptions!$D65</f>
        <v>0</v>
      </c>
      <c r="CW51" s="54">
        <f>-CW50*Assumptions!$D65</f>
        <v>0</v>
      </c>
      <c r="CX51" s="54">
        <f>-CX50*Assumptions!$D65</f>
        <v>0</v>
      </c>
      <c r="CY51" s="54">
        <f>-CY50*Assumptions!$D65</f>
        <v>0</v>
      </c>
      <c r="CZ51" s="54">
        <f>-CZ50*Assumptions!$D65</f>
        <v>0</v>
      </c>
      <c r="DA51" s="54">
        <f>-DA50*Assumptions!$D65</f>
        <v>0</v>
      </c>
      <c r="DB51" s="54">
        <f>-DB50*Assumptions!$D65</f>
        <v>0</v>
      </c>
      <c r="DC51" s="54">
        <f>-DC50*Assumptions!$D65</f>
        <v>0</v>
      </c>
      <c r="DD51" s="54">
        <f>-DD50*Assumptions!$D65</f>
        <v>0</v>
      </c>
      <c r="DE51" s="54">
        <f>-DE50*Assumptions!$D65</f>
        <v>0</v>
      </c>
      <c r="DF51" s="54">
        <f>-DF50*Assumptions!$D65</f>
        <v>0</v>
      </c>
      <c r="DG51" s="54">
        <f>-DG50*Assumptions!$D65</f>
        <v>0</v>
      </c>
      <c r="DH51" s="54">
        <f>-DH50*Assumptions!$D65</f>
        <v>0</v>
      </c>
      <c r="DI51" s="54">
        <f>-DI50*Assumptions!$D65</f>
        <v>0</v>
      </c>
      <c r="DJ51" s="54">
        <f>-DJ50*Assumptions!$D65</f>
        <v>0</v>
      </c>
      <c r="DK51" s="54">
        <f>-DK50*Assumptions!$D65</f>
        <v>0</v>
      </c>
      <c r="DL51" s="54">
        <f>-DL50*Assumptions!$D65</f>
        <v>0</v>
      </c>
      <c r="DM51" s="54">
        <f>-DM50*Assumptions!$D65</f>
        <v>0</v>
      </c>
      <c r="DN51" s="54">
        <f>-DN50*Assumptions!$D65</f>
        <v>0</v>
      </c>
      <c r="DO51" s="54">
        <f>-DO50*Assumptions!$D65</f>
        <v>0</v>
      </c>
      <c r="DP51" s="54">
        <f>-DP50*Assumptions!$D65</f>
        <v>0</v>
      </c>
      <c r="DQ51" s="54">
        <f>-DQ50*Assumptions!$D65</f>
        <v>0</v>
      </c>
      <c r="DR51" s="54">
        <f>-DR50*Assumptions!$D65</f>
        <v>0</v>
      </c>
      <c r="DS51" s="54">
        <f>-DS50*Assumptions!$D65</f>
        <v>-167553.4447</v>
      </c>
      <c r="DT51" s="54">
        <f>-DT50*Assumptions!$D65</f>
        <v>0</v>
      </c>
      <c r="DU51" s="54">
        <f>-DU50*Assumptions!$D65</f>
        <v>0</v>
      </c>
      <c r="DV51" s="54">
        <f>-DV50*Assumptions!$D65</f>
        <v>0</v>
      </c>
      <c r="DW51" s="54">
        <f>-DW50*Assumptions!$D65</f>
        <v>0</v>
      </c>
      <c r="DX51" s="54">
        <f>-DX50*Assumptions!$D65</f>
        <v>0</v>
      </c>
      <c r="DY51" s="54">
        <f>-DY50*Assumptions!$D65</f>
        <v>0</v>
      </c>
      <c r="DZ51" s="54">
        <f>-DZ50*Assumptions!$D65</f>
        <v>0</v>
      </c>
      <c r="EA51" s="54">
        <f>-EA50*Assumptions!$D65</f>
        <v>0</v>
      </c>
      <c r="EB51" s="54">
        <f>-EB50*Assumptions!$D65</f>
        <v>0</v>
      </c>
      <c r="EC51" s="54">
        <f>-EC50*Assumptions!$D65</f>
        <v>0</v>
      </c>
      <c r="ED51" s="54">
        <f>-ED50*Assumptions!$D65</f>
        <v>0</v>
      </c>
      <c r="EE51" s="54">
        <f>-EE50*Assumptions!$D65</f>
        <v>0</v>
      </c>
    </row>
    <row r="52" ht="15.75" customHeight="1">
      <c r="A52" s="1"/>
      <c r="B52" s="26"/>
      <c r="C52" s="26" t="s">
        <v>200</v>
      </c>
      <c r="D52" s="211">
        <f t="shared" ref="D52:EE52" si="10">-D47*IF(D50=0,0,1)</f>
        <v>0</v>
      </c>
      <c r="E52" s="211">
        <f t="shared" si="10"/>
        <v>0</v>
      </c>
      <c r="F52" s="211">
        <f t="shared" si="10"/>
        <v>0</v>
      </c>
      <c r="G52" s="211">
        <f t="shared" si="10"/>
        <v>0</v>
      </c>
      <c r="H52" s="211">
        <f t="shared" si="10"/>
        <v>0</v>
      </c>
      <c r="I52" s="211">
        <f t="shared" si="10"/>
        <v>0</v>
      </c>
      <c r="J52" s="211">
        <f t="shared" si="10"/>
        <v>0</v>
      </c>
      <c r="K52" s="211">
        <f t="shared" si="10"/>
        <v>0</v>
      </c>
      <c r="L52" s="211">
        <f t="shared" si="10"/>
        <v>0</v>
      </c>
      <c r="M52" s="211">
        <f t="shared" si="10"/>
        <v>0</v>
      </c>
      <c r="N52" s="211">
        <f t="shared" si="10"/>
        <v>0</v>
      </c>
      <c r="O52" s="211">
        <f t="shared" si="10"/>
        <v>0</v>
      </c>
      <c r="P52" s="211">
        <f t="shared" si="10"/>
        <v>0</v>
      </c>
      <c r="Q52" s="211">
        <f t="shared" si="10"/>
        <v>0</v>
      </c>
      <c r="R52" s="211">
        <f t="shared" si="10"/>
        <v>0</v>
      </c>
      <c r="S52" s="211">
        <f t="shared" si="10"/>
        <v>0</v>
      </c>
      <c r="T52" s="211">
        <f t="shared" si="10"/>
        <v>0</v>
      </c>
      <c r="U52" s="211">
        <f t="shared" si="10"/>
        <v>0</v>
      </c>
      <c r="V52" s="211">
        <f t="shared" si="10"/>
        <v>0</v>
      </c>
      <c r="W52" s="211">
        <f t="shared" si="10"/>
        <v>0</v>
      </c>
      <c r="X52" s="211">
        <f t="shared" si="10"/>
        <v>0</v>
      </c>
      <c r="Y52" s="211">
        <f t="shared" si="10"/>
        <v>0</v>
      </c>
      <c r="Z52" s="211">
        <f t="shared" si="10"/>
        <v>0</v>
      </c>
      <c r="AA52" s="211">
        <f t="shared" si="10"/>
        <v>0</v>
      </c>
      <c r="AB52" s="211">
        <f t="shared" si="10"/>
        <v>0</v>
      </c>
      <c r="AC52" s="211">
        <f t="shared" si="10"/>
        <v>0</v>
      </c>
      <c r="AD52" s="211">
        <f t="shared" si="10"/>
        <v>0</v>
      </c>
      <c r="AE52" s="211">
        <f t="shared" si="10"/>
        <v>0</v>
      </c>
      <c r="AF52" s="211">
        <f t="shared" si="10"/>
        <v>0</v>
      </c>
      <c r="AG52" s="211">
        <f t="shared" si="10"/>
        <v>0</v>
      </c>
      <c r="AH52" s="211">
        <f t="shared" si="10"/>
        <v>0</v>
      </c>
      <c r="AI52" s="211">
        <f t="shared" si="10"/>
        <v>0</v>
      </c>
      <c r="AJ52" s="211">
        <f t="shared" si="10"/>
        <v>0</v>
      </c>
      <c r="AK52" s="211">
        <f t="shared" si="10"/>
        <v>0</v>
      </c>
      <c r="AL52" s="211">
        <f t="shared" si="10"/>
        <v>0</v>
      </c>
      <c r="AM52" s="211">
        <f t="shared" si="10"/>
        <v>0</v>
      </c>
      <c r="AN52" s="211">
        <f t="shared" si="10"/>
        <v>0</v>
      </c>
      <c r="AO52" s="211">
        <f t="shared" si="10"/>
        <v>0</v>
      </c>
      <c r="AP52" s="211">
        <f t="shared" si="10"/>
        <v>0</v>
      </c>
      <c r="AQ52" s="211">
        <f t="shared" si="10"/>
        <v>0</v>
      </c>
      <c r="AR52" s="211">
        <f t="shared" si="10"/>
        <v>0</v>
      </c>
      <c r="AS52" s="211">
        <f t="shared" si="10"/>
        <v>0</v>
      </c>
      <c r="AT52" s="211">
        <f t="shared" si="10"/>
        <v>0</v>
      </c>
      <c r="AU52" s="211">
        <f t="shared" si="10"/>
        <v>0</v>
      </c>
      <c r="AV52" s="211">
        <f t="shared" si="10"/>
        <v>0</v>
      </c>
      <c r="AW52" s="211">
        <f t="shared" si="10"/>
        <v>0</v>
      </c>
      <c r="AX52" s="211">
        <f t="shared" si="10"/>
        <v>0</v>
      </c>
      <c r="AY52" s="211">
        <f t="shared" si="10"/>
        <v>0</v>
      </c>
      <c r="AZ52" s="211">
        <f t="shared" si="10"/>
        <v>0</v>
      </c>
      <c r="BA52" s="211">
        <f t="shared" si="10"/>
        <v>0</v>
      </c>
      <c r="BB52" s="211">
        <f t="shared" si="10"/>
        <v>0</v>
      </c>
      <c r="BC52" s="211">
        <f t="shared" si="10"/>
        <v>0</v>
      </c>
      <c r="BD52" s="211">
        <f t="shared" si="10"/>
        <v>0</v>
      </c>
      <c r="BE52" s="211">
        <f t="shared" si="10"/>
        <v>0</v>
      </c>
      <c r="BF52" s="211">
        <f t="shared" si="10"/>
        <v>0</v>
      </c>
      <c r="BG52" s="211">
        <f t="shared" si="10"/>
        <v>0</v>
      </c>
      <c r="BH52" s="211">
        <f t="shared" si="10"/>
        <v>0</v>
      </c>
      <c r="BI52" s="211">
        <f t="shared" si="10"/>
        <v>0</v>
      </c>
      <c r="BJ52" s="211">
        <f t="shared" si="10"/>
        <v>0</v>
      </c>
      <c r="BK52" s="211">
        <f t="shared" si="10"/>
        <v>0</v>
      </c>
      <c r="BL52" s="211">
        <f t="shared" si="10"/>
        <v>0</v>
      </c>
      <c r="BM52" s="211">
        <f t="shared" si="10"/>
        <v>0</v>
      </c>
      <c r="BN52" s="211">
        <f t="shared" si="10"/>
        <v>0</v>
      </c>
      <c r="BO52" s="211">
        <f t="shared" si="10"/>
        <v>0</v>
      </c>
      <c r="BP52" s="211">
        <f t="shared" si="10"/>
        <v>0</v>
      </c>
      <c r="BQ52" s="211">
        <f t="shared" si="10"/>
        <v>0</v>
      </c>
      <c r="BR52" s="211">
        <f t="shared" si="10"/>
        <v>0</v>
      </c>
      <c r="BS52" s="211">
        <f t="shared" si="10"/>
        <v>0</v>
      </c>
      <c r="BT52" s="211">
        <f t="shared" si="10"/>
        <v>0</v>
      </c>
      <c r="BU52" s="211">
        <f t="shared" si="10"/>
        <v>0</v>
      </c>
      <c r="BV52" s="211">
        <f t="shared" si="10"/>
        <v>0</v>
      </c>
      <c r="BW52" s="211">
        <f t="shared" si="10"/>
        <v>0</v>
      </c>
      <c r="BX52" s="211">
        <f t="shared" si="10"/>
        <v>0</v>
      </c>
      <c r="BY52" s="211">
        <f t="shared" si="10"/>
        <v>0</v>
      </c>
      <c r="BZ52" s="211">
        <f t="shared" si="10"/>
        <v>0</v>
      </c>
      <c r="CA52" s="211">
        <f t="shared" si="10"/>
        <v>0</v>
      </c>
      <c r="CB52" s="211">
        <f t="shared" si="10"/>
        <v>0</v>
      </c>
      <c r="CC52" s="211">
        <f t="shared" si="10"/>
        <v>0</v>
      </c>
      <c r="CD52" s="211">
        <f t="shared" si="10"/>
        <v>0</v>
      </c>
      <c r="CE52" s="211">
        <f t="shared" si="10"/>
        <v>0</v>
      </c>
      <c r="CF52" s="211">
        <f t="shared" si="10"/>
        <v>0</v>
      </c>
      <c r="CG52" s="211">
        <f t="shared" si="10"/>
        <v>0</v>
      </c>
      <c r="CH52" s="211">
        <f t="shared" si="10"/>
        <v>0</v>
      </c>
      <c r="CI52" s="211">
        <f t="shared" si="10"/>
        <v>0</v>
      </c>
      <c r="CJ52" s="211">
        <f t="shared" si="10"/>
        <v>0</v>
      </c>
      <c r="CK52" s="211">
        <f t="shared" si="10"/>
        <v>0</v>
      </c>
      <c r="CL52" s="211">
        <f t="shared" si="10"/>
        <v>0</v>
      </c>
      <c r="CM52" s="211">
        <f t="shared" si="10"/>
        <v>0</v>
      </c>
      <c r="CN52" s="211">
        <f t="shared" si="10"/>
        <v>0</v>
      </c>
      <c r="CO52" s="211">
        <f t="shared" si="10"/>
        <v>0</v>
      </c>
      <c r="CP52" s="211">
        <f t="shared" si="10"/>
        <v>0</v>
      </c>
      <c r="CQ52" s="211">
        <f t="shared" si="10"/>
        <v>0</v>
      </c>
      <c r="CR52" s="211">
        <f t="shared" si="10"/>
        <v>0</v>
      </c>
      <c r="CS52" s="211">
        <f t="shared" si="10"/>
        <v>0</v>
      </c>
      <c r="CT52" s="211">
        <f t="shared" si="10"/>
        <v>0</v>
      </c>
      <c r="CU52" s="211">
        <f t="shared" si="10"/>
        <v>0</v>
      </c>
      <c r="CV52" s="211">
        <f t="shared" si="10"/>
        <v>0</v>
      </c>
      <c r="CW52" s="211">
        <f t="shared" si="10"/>
        <v>0</v>
      </c>
      <c r="CX52" s="211">
        <f t="shared" si="10"/>
        <v>0</v>
      </c>
      <c r="CY52" s="211">
        <f t="shared" si="10"/>
        <v>0</v>
      </c>
      <c r="CZ52" s="211">
        <f t="shared" si="10"/>
        <v>0</v>
      </c>
      <c r="DA52" s="211">
        <f t="shared" si="10"/>
        <v>0</v>
      </c>
      <c r="DB52" s="211">
        <f t="shared" si="10"/>
        <v>0</v>
      </c>
      <c r="DC52" s="211">
        <f t="shared" si="10"/>
        <v>0</v>
      </c>
      <c r="DD52" s="211">
        <f t="shared" si="10"/>
        <v>0</v>
      </c>
      <c r="DE52" s="211">
        <f t="shared" si="10"/>
        <v>0</v>
      </c>
      <c r="DF52" s="211">
        <f t="shared" si="10"/>
        <v>0</v>
      </c>
      <c r="DG52" s="211">
        <f t="shared" si="10"/>
        <v>0</v>
      </c>
      <c r="DH52" s="211">
        <f t="shared" si="10"/>
        <v>0</v>
      </c>
      <c r="DI52" s="211">
        <f t="shared" si="10"/>
        <v>0</v>
      </c>
      <c r="DJ52" s="211">
        <f t="shared" si="10"/>
        <v>0</v>
      </c>
      <c r="DK52" s="211">
        <f t="shared" si="10"/>
        <v>0</v>
      </c>
      <c r="DL52" s="211">
        <f t="shared" si="10"/>
        <v>0</v>
      </c>
      <c r="DM52" s="211">
        <f t="shared" si="10"/>
        <v>0</v>
      </c>
      <c r="DN52" s="211">
        <f t="shared" si="10"/>
        <v>0</v>
      </c>
      <c r="DO52" s="211">
        <f t="shared" si="10"/>
        <v>0</v>
      </c>
      <c r="DP52" s="211">
        <f t="shared" si="10"/>
        <v>0</v>
      </c>
      <c r="DQ52" s="211">
        <f t="shared" si="10"/>
        <v>0</v>
      </c>
      <c r="DR52" s="211">
        <f t="shared" si="10"/>
        <v>0</v>
      </c>
      <c r="DS52" s="211">
        <f t="shared" si="10"/>
        <v>-3413841.87</v>
      </c>
      <c r="DT52" s="211">
        <f t="shared" si="10"/>
        <v>0</v>
      </c>
      <c r="DU52" s="211">
        <f t="shared" si="10"/>
        <v>0</v>
      </c>
      <c r="DV52" s="211">
        <f t="shared" si="10"/>
        <v>0</v>
      </c>
      <c r="DW52" s="211">
        <f t="shared" si="10"/>
        <v>0</v>
      </c>
      <c r="DX52" s="211">
        <f t="shared" si="10"/>
        <v>0</v>
      </c>
      <c r="DY52" s="211">
        <f t="shared" si="10"/>
        <v>0</v>
      </c>
      <c r="DZ52" s="211">
        <f t="shared" si="10"/>
        <v>0</v>
      </c>
      <c r="EA52" s="211">
        <f t="shared" si="10"/>
        <v>0</v>
      </c>
      <c r="EB52" s="211">
        <f t="shared" si="10"/>
        <v>0</v>
      </c>
      <c r="EC52" s="211">
        <f t="shared" si="10"/>
        <v>0</v>
      </c>
      <c r="ED52" s="211">
        <f t="shared" si="10"/>
        <v>0</v>
      </c>
      <c r="EE52" s="211">
        <f t="shared" si="10"/>
        <v>0</v>
      </c>
    </row>
    <row r="53" ht="15.75" customHeight="1">
      <c r="A53" s="1"/>
      <c r="B53" s="47"/>
      <c r="C53" s="47" t="s">
        <v>151</v>
      </c>
      <c r="D53" s="213">
        <f t="shared" ref="D53:EE53" si="11">SUM(D50:D52)</f>
        <v>0</v>
      </c>
      <c r="E53" s="213">
        <f t="shared" si="11"/>
        <v>0</v>
      </c>
      <c r="F53" s="213">
        <f t="shared" si="11"/>
        <v>0</v>
      </c>
      <c r="G53" s="213">
        <f t="shared" si="11"/>
        <v>0</v>
      </c>
      <c r="H53" s="213">
        <f t="shared" si="11"/>
        <v>0</v>
      </c>
      <c r="I53" s="213">
        <f t="shared" si="11"/>
        <v>0</v>
      </c>
      <c r="J53" s="213">
        <f t="shared" si="11"/>
        <v>0</v>
      </c>
      <c r="K53" s="213">
        <f t="shared" si="11"/>
        <v>0</v>
      </c>
      <c r="L53" s="213">
        <f t="shared" si="11"/>
        <v>0</v>
      </c>
      <c r="M53" s="213">
        <f t="shared" si="11"/>
        <v>0</v>
      </c>
      <c r="N53" s="213">
        <f t="shared" si="11"/>
        <v>0</v>
      </c>
      <c r="O53" s="213">
        <f t="shared" si="11"/>
        <v>0</v>
      </c>
      <c r="P53" s="213">
        <f t="shared" si="11"/>
        <v>0</v>
      </c>
      <c r="Q53" s="213">
        <f t="shared" si="11"/>
        <v>0</v>
      </c>
      <c r="R53" s="213">
        <f t="shared" si="11"/>
        <v>0</v>
      </c>
      <c r="S53" s="213">
        <f t="shared" si="11"/>
        <v>0</v>
      </c>
      <c r="T53" s="213">
        <f t="shared" si="11"/>
        <v>0</v>
      </c>
      <c r="U53" s="213">
        <f t="shared" si="11"/>
        <v>0</v>
      </c>
      <c r="V53" s="213">
        <f t="shared" si="11"/>
        <v>0</v>
      </c>
      <c r="W53" s="213">
        <f t="shared" si="11"/>
        <v>0</v>
      </c>
      <c r="X53" s="213">
        <f t="shared" si="11"/>
        <v>0</v>
      </c>
      <c r="Y53" s="213">
        <f t="shared" si="11"/>
        <v>0</v>
      </c>
      <c r="Z53" s="213">
        <f t="shared" si="11"/>
        <v>0</v>
      </c>
      <c r="AA53" s="213">
        <f t="shared" si="11"/>
        <v>0</v>
      </c>
      <c r="AB53" s="213">
        <f t="shared" si="11"/>
        <v>0</v>
      </c>
      <c r="AC53" s="213">
        <f t="shared" si="11"/>
        <v>0</v>
      </c>
      <c r="AD53" s="213">
        <f t="shared" si="11"/>
        <v>0</v>
      </c>
      <c r="AE53" s="213">
        <f t="shared" si="11"/>
        <v>0</v>
      </c>
      <c r="AF53" s="213">
        <f t="shared" si="11"/>
        <v>0</v>
      </c>
      <c r="AG53" s="213">
        <f t="shared" si="11"/>
        <v>0</v>
      </c>
      <c r="AH53" s="213">
        <f t="shared" si="11"/>
        <v>0</v>
      </c>
      <c r="AI53" s="213">
        <f t="shared" si="11"/>
        <v>0</v>
      </c>
      <c r="AJ53" s="213">
        <f t="shared" si="11"/>
        <v>0</v>
      </c>
      <c r="AK53" s="213">
        <f t="shared" si="11"/>
        <v>0</v>
      </c>
      <c r="AL53" s="213">
        <f t="shared" si="11"/>
        <v>0</v>
      </c>
      <c r="AM53" s="213">
        <f t="shared" si="11"/>
        <v>0</v>
      </c>
      <c r="AN53" s="213">
        <f t="shared" si="11"/>
        <v>0</v>
      </c>
      <c r="AO53" s="213">
        <f t="shared" si="11"/>
        <v>0</v>
      </c>
      <c r="AP53" s="213">
        <f t="shared" si="11"/>
        <v>0</v>
      </c>
      <c r="AQ53" s="213">
        <f t="shared" si="11"/>
        <v>0</v>
      </c>
      <c r="AR53" s="213">
        <f t="shared" si="11"/>
        <v>0</v>
      </c>
      <c r="AS53" s="213">
        <f t="shared" si="11"/>
        <v>0</v>
      </c>
      <c r="AT53" s="213">
        <f t="shared" si="11"/>
        <v>0</v>
      </c>
      <c r="AU53" s="213">
        <f t="shared" si="11"/>
        <v>0</v>
      </c>
      <c r="AV53" s="213">
        <f t="shared" si="11"/>
        <v>0</v>
      </c>
      <c r="AW53" s="213">
        <f t="shared" si="11"/>
        <v>0</v>
      </c>
      <c r="AX53" s="213">
        <f t="shared" si="11"/>
        <v>0</v>
      </c>
      <c r="AY53" s="213">
        <f t="shared" si="11"/>
        <v>0</v>
      </c>
      <c r="AZ53" s="213">
        <f t="shared" si="11"/>
        <v>0</v>
      </c>
      <c r="BA53" s="213">
        <f t="shared" si="11"/>
        <v>0</v>
      </c>
      <c r="BB53" s="213">
        <f t="shared" si="11"/>
        <v>0</v>
      </c>
      <c r="BC53" s="213">
        <f t="shared" si="11"/>
        <v>0</v>
      </c>
      <c r="BD53" s="213">
        <f t="shared" si="11"/>
        <v>0</v>
      </c>
      <c r="BE53" s="213">
        <f t="shared" si="11"/>
        <v>0</v>
      </c>
      <c r="BF53" s="213">
        <f t="shared" si="11"/>
        <v>0</v>
      </c>
      <c r="BG53" s="213">
        <f t="shared" si="11"/>
        <v>0</v>
      </c>
      <c r="BH53" s="213">
        <f t="shared" si="11"/>
        <v>0</v>
      </c>
      <c r="BI53" s="213">
        <f t="shared" si="11"/>
        <v>0</v>
      </c>
      <c r="BJ53" s="213">
        <f t="shared" si="11"/>
        <v>0</v>
      </c>
      <c r="BK53" s="213">
        <f t="shared" si="11"/>
        <v>0</v>
      </c>
      <c r="BL53" s="213">
        <f t="shared" si="11"/>
        <v>0</v>
      </c>
      <c r="BM53" s="213">
        <f t="shared" si="11"/>
        <v>0</v>
      </c>
      <c r="BN53" s="213">
        <f t="shared" si="11"/>
        <v>0</v>
      </c>
      <c r="BO53" s="213">
        <f t="shared" si="11"/>
        <v>0</v>
      </c>
      <c r="BP53" s="213">
        <f t="shared" si="11"/>
        <v>0</v>
      </c>
      <c r="BQ53" s="213">
        <f t="shared" si="11"/>
        <v>0</v>
      </c>
      <c r="BR53" s="213">
        <f t="shared" si="11"/>
        <v>0</v>
      </c>
      <c r="BS53" s="213">
        <f t="shared" si="11"/>
        <v>0</v>
      </c>
      <c r="BT53" s="213">
        <f t="shared" si="11"/>
        <v>0</v>
      </c>
      <c r="BU53" s="213">
        <f t="shared" si="11"/>
        <v>0</v>
      </c>
      <c r="BV53" s="213">
        <f t="shared" si="11"/>
        <v>0</v>
      </c>
      <c r="BW53" s="213">
        <f t="shared" si="11"/>
        <v>0</v>
      </c>
      <c r="BX53" s="213">
        <f t="shared" si="11"/>
        <v>0</v>
      </c>
      <c r="BY53" s="213">
        <f t="shared" si="11"/>
        <v>0</v>
      </c>
      <c r="BZ53" s="213">
        <f t="shared" si="11"/>
        <v>0</v>
      </c>
      <c r="CA53" s="213">
        <f t="shared" si="11"/>
        <v>0</v>
      </c>
      <c r="CB53" s="213">
        <f t="shared" si="11"/>
        <v>0</v>
      </c>
      <c r="CC53" s="213">
        <f t="shared" si="11"/>
        <v>0</v>
      </c>
      <c r="CD53" s="213">
        <f t="shared" si="11"/>
        <v>0</v>
      </c>
      <c r="CE53" s="213">
        <f t="shared" si="11"/>
        <v>0</v>
      </c>
      <c r="CF53" s="213">
        <f t="shared" si="11"/>
        <v>0</v>
      </c>
      <c r="CG53" s="213">
        <f t="shared" si="11"/>
        <v>0</v>
      </c>
      <c r="CH53" s="213">
        <f t="shared" si="11"/>
        <v>0</v>
      </c>
      <c r="CI53" s="213">
        <f t="shared" si="11"/>
        <v>0</v>
      </c>
      <c r="CJ53" s="213">
        <f t="shared" si="11"/>
        <v>0</v>
      </c>
      <c r="CK53" s="213">
        <f t="shared" si="11"/>
        <v>0</v>
      </c>
      <c r="CL53" s="213">
        <f t="shared" si="11"/>
        <v>0</v>
      </c>
      <c r="CM53" s="213">
        <f t="shared" si="11"/>
        <v>0</v>
      </c>
      <c r="CN53" s="213">
        <f t="shared" si="11"/>
        <v>0</v>
      </c>
      <c r="CO53" s="213">
        <f t="shared" si="11"/>
        <v>0</v>
      </c>
      <c r="CP53" s="213">
        <f t="shared" si="11"/>
        <v>0</v>
      </c>
      <c r="CQ53" s="213">
        <f t="shared" si="11"/>
        <v>0</v>
      </c>
      <c r="CR53" s="213">
        <f t="shared" si="11"/>
        <v>0</v>
      </c>
      <c r="CS53" s="213">
        <f t="shared" si="11"/>
        <v>0</v>
      </c>
      <c r="CT53" s="213">
        <f t="shared" si="11"/>
        <v>0</v>
      </c>
      <c r="CU53" s="213">
        <f t="shared" si="11"/>
        <v>0</v>
      </c>
      <c r="CV53" s="213">
        <f t="shared" si="11"/>
        <v>0</v>
      </c>
      <c r="CW53" s="213">
        <f t="shared" si="11"/>
        <v>0</v>
      </c>
      <c r="CX53" s="213">
        <f t="shared" si="11"/>
        <v>0</v>
      </c>
      <c r="CY53" s="213">
        <f t="shared" si="11"/>
        <v>0</v>
      </c>
      <c r="CZ53" s="213">
        <f t="shared" si="11"/>
        <v>0</v>
      </c>
      <c r="DA53" s="213">
        <f t="shared" si="11"/>
        <v>0</v>
      </c>
      <c r="DB53" s="213">
        <f t="shared" si="11"/>
        <v>0</v>
      </c>
      <c r="DC53" s="213">
        <f t="shared" si="11"/>
        <v>0</v>
      </c>
      <c r="DD53" s="213">
        <f t="shared" si="11"/>
        <v>0</v>
      </c>
      <c r="DE53" s="213">
        <f t="shared" si="11"/>
        <v>0</v>
      </c>
      <c r="DF53" s="213">
        <f t="shared" si="11"/>
        <v>0</v>
      </c>
      <c r="DG53" s="213">
        <f t="shared" si="11"/>
        <v>0</v>
      </c>
      <c r="DH53" s="213">
        <f t="shared" si="11"/>
        <v>0</v>
      </c>
      <c r="DI53" s="213">
        <f t="shared" si="11"/>
        <v>0</v>
      </c>
      <c r="DJ53" s="213">
        <f t="shared" si="11"/>
        <v>0</v>
      </c>
      <c r="DK53" s="213">
        <f t="shared" si="11"/>
        <v>0</v>
      </c>
      <c r="DL53" s="213">
        <f t="shared" si="11"/>
        <v>0</v>
      </c>
      <c r="DM53" s="213">
        <f t="shared" si="11"/>
        <v>0</v>
      </c>
      <c r="DN53" s="213">
        <f t="shared" si="11"/>
        <v>0</v>
      </c>
      <c r="DO53" s="213">
        <f t="shared" si="11"/>
        <v>0</v>
      </c>
      <c r="DP53" s="213">
        <f t="shared" si="11"/>
        <v>0</v>
      </c>
      <c r="DQ53" s="213">
        <f t="shared" si="11"/>
        <v>0</v>
      </c>
      <c r="DR53" s="213">
        <f t="shared" si="11"/>
        <v>0</v>
      </c>
      <c r="DS53" s="213">
        <f t="shared" si="11"/>
        <v>4796276.921</v>
      </c>
      <c r="DT53" s="213">
        <f t="shared" si="11"/>
        <v>0</v>
      </c>
      <c r="DU53" s="213">
        <f t="shared" si="11"/>
        <v>0</v>
      </c>
      <c r="DV53" s="213">
        <f t="shared" si="11"/>
        <v>0</v>
      </c>
      <c r="DW53" s="213">
        <f t="shared" si="11"/>
        <v>0</v>
      </c>
      <c r="DX53" s="213">
        <f t="shared" si="11"/>
        <v>0</v>
      </c>
      <c r="DY53" s="213">
        <f t="shared" si="11"/>
        <v>0</v>
      </c>
      <c r="DZ53" s="213">
        <f t="shared" si="11"/>
        <v>0</v>
      </c>
      <c r="EA53" s="213">
        <f t="shared" si="11"/>
        <v>0</v>
      </c>
      <c r="EB53" s="213">
        <f t="shared" si="11"/>
        <v>0</v>
      </c>
      <c r="EC53" s="213">
        <f t="shared" si="11"/>
        <v>0</v>
      </c>
      <c r="ED53" s="213">
        <f t="shared" si="11"/>
        <v>0</v>
      </c>
      <c r="EE53" s="213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152</v>
      </c>
      <c r="D55" s="54">
        <f>(D38-D46)*IF(D1&gt;Assumptions!$D$68*12,0,1)</f>
        <v>29168.53676</v>
      </c>
      <c r="E55" s="54">
        <f>(E38-E46)*IF(E1&gt;Assumptions!$D$68*12,0,1)</f>
        <v>29168.53676</v>
      </c>
      <c r="F55" s="54">
        <f>(F38-F46)*IF(F1&gt;Assumptions!$D$68*12,0,1)</f>
        <v>29168.53676</v>
      </c>
      <c r="G55" s="54">
        <f>(G38-G46)*IF(G1&gt;Assumptions!$D$68*12,0,1)</f>
        <v>29168.53676</v>
      </c>
      <c r="H55" s="54">
        <f>(H38-H46)*IF(H1&gt;Assumptions!$D$68*12,0,1)</f>
        <v>29168.53676</v>
      </c>
      <c r="I55" s="54">
        <f>(I38-I46)*IF(I1&gt;Assumptions!$D$68*12,0,1)</f>
        <v>29168.53676</v>
      </c>
      <c r="J55" s="54">
        <f>(J38-J46)*IF(J1&gt;Assumptions!$D$68*12,0,1)</f>
        <v>29168.53676</v>
      </c>
      <c r="K55" s="54">
        <f>(K38-K46)*IF(K1&gt;Assumptions!$D$68*12,0,1)</f>
        <v>29168.53676</v>
      </c>
      <c r="L55" s="54">
        <f>(L38-L46)*IF(L1&gt;Assumptions!$D$68*12,0,1)</f>
        <v>29168.53676</v>
      </c>
      <c r="M55" s="54">
        <f>(M38-M46)*IF(M1&gt;Assumptions!$D$68*12,0,1)</f>
        <v>29168.53676</v>
      </c>
      <c r="N55" s="54">
        <f>(N38-N46)*IF(N1&gt;Assumptions!$D$68*12,0,1)</f>
        <v>29168.53676</v>
      </c>
      <c r="O55" s="54">
        <f>(O38-O46)*IF(O1&gt;Assumptions!$D$68*12,0,1)</f>
        <v>29168.53676</v>
      </c>
      <c r="P55" s="54">
        <f>(P38-P46)*IF(P1&gt;Assumptions!$D$68*12,0,1)</f>
        <v>33693.94971</v>
      </c>
      <c r="Q55" s="54">
        <f>(Q38-Q46)*IF(Q1&gt;Assumptions!$D$68*12,0,1)</f>
        <v>33693.94971</v>
      </c>
      <c r="R55" s="54">
        <f>(R38-R46)*IF(R1&gt;Assumptions!$D$68*12,0,1)</f>
        <v>33693.94971</v>
      </c>
      <c r="S55" s="54">
        <f>(S38-S46)*IF(S1&gt;Assumptions!$D$68*12,0,1)</f>
        <v>33693.94971</v>
      </c>
      <c r="T55" s="54">
        <f>(T38-T46)*IF(T1&gt;Assumptions!$D$68*12,0,1)</f>
        <v>33693.94971</v>
      </c>
      <c r="U55" s="54">
        <f>(U38-U46)*IF(U1&gt;Assumptions!$D$68*12,0,1)</f>
        <v>33693.94971</v>
      </c>
      <c r="V55" s="54">
        <f>(V38-V46)*IF(V1&gt;Assumptions!$D$68*12,0,1)</f>
        <v>33693.94971</v>
      </c>
      <c r="W55" s="54">
        <f>(W38-W46)*IF(W1&gt;Assumptions!$D$68*12,0,1)</f>
        <v>33693.94971</v>
      </c>
      <c r="X55" s="54">
        <f>(X38-X46)*IF(X1&gt;Assumptions!$D$68*12,0,1)</f>
        <v>33693.94971</v>
      </c>
      <c r="Y55" s="54">
        <f>(Y38-Y46)*IF(Y1&gt;Assumptions!$D$68*12,0,1)</f>
        <v>33693.94971</v>
      </c>
      <c r="Z55" s="54">
        <f>(Z38-Z46)*IF(Z1&gt;Assumptions!$D$68*12,0,1)</f>
        <v>33693.94971</v>
      </c>
      <c r="AA55" s="54">
        <f>(AA38-AA46)*IF(AA1&gt;Assumptions!$D$68*12,0,1)</f>
        <v>33693.94971</v>
      </c>
      <c r="AB55" s="54">
        <f>(AB38-AB46)*IF(AB1&gt;Assumptions!$D$68*12,0,1)</f>
        <v>34704.7682</v>
      </c>
      <c r="AC55" s="54">
        <f>(AC38-AC46)*IF(AC1&gt;Assumptions!$D$68*12,0,1)</f>
        <v>34704.7682</v>
      </c>
      <c r="AD55" s="54">
        <f>(AD38-AD46)*IF(AD1&gt;Assumptions!$D$68*12,0,1)</f>
        <v>34704.7682</v>
      </c>
      <c r="AE55" s="54">
        <f>(AE38-AE46)*IF(AE1&gt;Assumptions!$D$68*12,0,1)</f>
        <v>34704.7682</v>
      </c>
      <c r="AF55" s="54">
        <f>(AF38-AF46)*IF(AF1&gt;Assumptions!$D$68*12,0,1)</f>
        <v>34704.7682</v>
      </c>
      <c r="AG55" s="54">
        <f>(AG38-AG46)*IF(AG1&gt;Assumptions!$D$68*12,0,1)</f>
        <v>34704.7682</v>
      </c>
      <c r="AH55" s="54">
        <f>(AH38-AH46)*IF(AH1&gt;Assumptions!$D$68*12,0,1)</f>
        <v>34704.7682</v>
      </c>
      <c r="AI55" s="54">
        <f>(AI38-AI46)*IF(AI1&gt;Assumptions!$D$68*12,0,1)</f>
        <v>34704.7682</v>
      </c>
      <c r="AJ55" s="54">
        <f>(AJ38-AJ46)*IF(AJ1&gt;Assumptions!$D$68*12,0,1)</f>
        <v>34704.7682</v>
      </c>
      <c r="AK55" s="54">
        <f>(AK38-AK46)*IF(AK1&gt;Assumptions!$D$68*12,0,1)</f>
        <v>34704.7682</v>
      </c>
      <c r="AL55" s="54">
        <f>(AL38-AL46)*IF(AL1&gt;Assumptions!$D$68*12,0,1)</f>
        <v>34704.7682</v>
      </c>
      <c r="AM55" s="54">
        <f>(AM38-AM46)*IF(AM1&gt;Assumptions!$D$68*12,0,1)</f>
        <v>34704.7682</v>
      </c>
      <c r="AN55" s="54">
        <f>(AN38-AN46)*IF(AN1&gt;Assumptions!$D$68*12,0,1)</f>
        <v>13560.99071</v>
      </c>
      <c r="AO55" s="54">
        <f>(AO38-AO46)*IF(AO1&gt;Assumptions!$D$68*12,0,1)</f>
        <v>13560.99071</v>
      </c>
      <c r="AP55" s="54">
        <f>(AP38-AP46)*IF(AP1&gt;Assumptions!$D$68*12,0,1)</f>
        <v>13560.99071</v>
      </c>
      <c r="AQ55" s="54">
        <f>(AQ38-AQ46)*IF(AQ1&gt;Assumptions!$D$68*12,0,1)</f>
        <v>13560.99071</v>
      </c>
      <c r="AR55" s="54">
        <f>(AR38-AR46)*IF(AR1&gt;Assumptions!$D$68*12,0,1)</f>
        <v>13560.99071</v>
      </c>
      <c r="AS55" s="54">
        <f>(AS38-AS46)*IF(AS1&gt;Assumptions!$D$68*12,0,1)</f>
        <v>13560.99071</v>
      </c>
      <c r="AT55" s="54">
        <f>(AT38-AT46)*IF(AT1&gt;Assumptions!$D$68*12,0,1)</f>
        <v>13560.99071</v>
      </c>
      <c r="AU55" s="54">
        <f>(AU38-AU46)*IF(AU1&gt;Assumptions!$D$68*12,0,1)</f>
        <v>13560.99071</v>
      </c>
      <c r="AV55" s="54">
        <f>(AV38-AV46)*IF(AV1&gt;Assumptions!$D$68*12,0,1)</f>
        <v>13560.99071</v>
      </c>
      <c r="AW55" s="54">
        <f>(AW38-AW46)*IF(AW1&gt;Assumptions!$D$68*12,0,1)</f>
        <v>13560.99071</v>
      </c>
      <c r="AX55" s="54">
        <f>(AX38-AX46)*IF(AX1&gt;Assumptions!$D$68*12,0,1)</f>
        <v>13560.99071</v>
      </c>
      <c r="AY55" s="54">
        <f>(AY38-AY46)*IF(AY1&gt;Assumptions!$D$68*12,0,1)</f>
        <v>13560.99071</v>
      </c>
      <c r="AZ55" s="54">
        <f>(AZ38-AZ46)*IF(AZ1&gt;Assumptions!$D$68*12,0,1)</f>
        <v>14633.36805</v>
      </c>
      <c r="BA55" s="54">
        <f>(BA38-BA46)*IF(BA1&gt;Assumptions!$D$68*12,0,1)</f>
        <v>14633.36805</v>
      </c>
      <c r="BB55" s="54">
        <f>(BB38-BB46)*IF(BB1&gt;Assumptions!$D$68*12,0,1)</f>
        <v>14633.36805</v>
      </c>
      <c r="BC55" s="54">
        <f>(BC38-BC46)*IF(BC1&gt;Assumptions!$D$68*12,0,1)</f>
        <v>14633.36805</v>
      </c>
      <c r="BD55" s="54">
        <f>(BD38-BD46)*IF(BD1&gt;Assumptions!$D$68*12,0,1)</f>
        <v>14633.36805</v>
      </c>
      <c r="BE55" s="54">
        <f>(BE38-BE46)*IF(BE1&gt;Assumptions!$D$68*12,0,1)</f>
        <v>14633.36805</v>
      </c>
      <c r="BF55" s="54">
        <f>(BF38-BF46)*IF(BF1&gt;Assumptions!$D$68*12,0,1)</f>
        <v>14633.36805</v>
      </c>
      <c r="BG55" s="54">
        <f>(BG38-BG46)*IF(BG1&gt;Assumptions!$D$68*12,0,1)</f>
        <v>14633.36805</v>
      </c>
      <c r="BH55" s="54">
        <f>(BH38-BH46)*IF(BH1&gt;Assumptions!$D$68*12,0,1)</f>
        <v>14633.36805</v>
      </c>
      <c r="BI55" s="54">
        <f>(BI38-BI46)*IF(BI1&gt;Assumptions!$D$68*12,0,1)</f>
        <v>14633.36805</v>
      </c>
      <c r="BJ55" s="54">
        <f>(BJ38-BJ46)*IF(BJ1&gt;Assumptions!$D$68*12,0,1)</f>
        <v>14633.36805</v>
      </c>
      <c r="BK55" s="54">
        <f>(BK38-BK46)*IF(BK1&gt;Assumptions!$D$68*12,0,1)</f>
        <v>14633.36805</v>
      </c>
      <c r="BL55" s="54">
        <f>(BL38-BL46)*IF(BL1&gt;Assumptions!$D$68*12,0,1)</f>
        <v>15737.9167</v>
      </c>
      <c r="BM55" s="54">
        <f>(BM38-BM46)*IF(BM1&gt;Assumptions!$D$68*12,0,1)</f>
        <v>15737.9167</v>
      </c>
      <c r="BN55" s="54">
        <f>(BN38-BN46)*IF(BN1&gt;Assumptions!$D$68*12,0,1)</f>
        <v>15737.9167</v>
      </c>
      <c r="BO55" s="54">
        <f>(BO38-BO46)*IF(BO1&gt;Assumptions!$D$68*12,0,1)</f>
        <v>15737.9167</v>
      </c>
      <c r="BP55" s="54">
        <f>(BP38-BP46)*IF(BP1&gt;Assumptions!$D$68*12,0,1)</f>
        <v>15737.9167</v>
      </c>
      <c r="BQ55" s="54">
        <f>(BQ38-BQ46)*IF(BQ1&gt;Assumptions!$D$68*12,0,1)</f>
        <v>15737.9167</v>
      </c>
      <c r="BR55" s="54">
        <f>(BR38-BR46)*IF(BR1&gt;Assumptions!$D$68*12,0,1)</f>
        <v>15737.9167</v>
      </c>
      <c r="BS55" s="54">
        <f>(BS38-BS46)*IF(BS1&gt;Assumptions!$D$68*12,0,1)</f>
        <v>15737.9167</v>
      </c>
      <c r="BT55" s="54">
        <f>(BT38-BT46)*IF(BT1&gt;Assumptions!$D$68*12,0,1)</f>
        <v>15737.9167</v>
      </c>
      <c r="BU55" s="54">
        <f>(BU38-BU46)*IF(BU1&gt;Assumptions!$D$68*12,0,1)</f>
        <v>15737.9167</v>
      </c>
      <c r="BV55" s="54">
        <f>(BV38-BV46)*IF(BV1&gt;Assumptions!$D$68*12,0,1)</f>
        <v>15737.9167</v>
      </c>
      <c r="BW55" s="54">
        <f>(BW38-BW46)*IF(BW1&gt;Assumptions!$D$68*12,0,1)</f>
        <v>15737.9167</v>
      </c>
      <c r="BX55" s="54">
        <f>(BX38-BX46)*IF(BX1&gt;Assumptions!$D$68*12,0,1)</f>
        <v>16875.60182</v>
      </c>
      <c r="BY55" s="54">
        <f>(BY38-BY46)*IF(BY1&gt;Assumptions!$D$68*12,0,1)</f>
        <v>16875.60182</v>
      </c>
      <c r="BZ55" s="54">
        <f>(BZ38-BZ46)*IF(BZ1&gt;Assumptions!$D$68*12,0,1)</f>
        <v>16875.60182</v>
      </c>
      <c r="CA55" s="54">
        <f>(CA38-CA46)*IF(CA1&gt;Assumptions!$D$68*12,0,1)</f>
        <v>16875.60182</v>
      </c>
      <c r="CB55" s="54">
        <f>(CB38-CB46)*IF(CB1&gt;Assumptions!$D$68*12,0,1)</f>
        <v>16875.60182</v>
      </c>
      <c r="CC55" s="54">
        <f>(CC38-CC46)*IF(CC1&gt;Assumptions!$D$68*12,0,1)</f>
        <v>16875.60182</v>
      </c>
      <c r="CD55" s="54">
        <f>(CD38-CD46)*IF(CD1&gt;Assumptions!$D$68*12,0,1)</f>
        <v>16875.60182</v>
      </c>
      <c r="CE55" s="54">
        <f>(CE38-CE46)*IF(CE1&gt;Assumptions!$D$68*12,0,1)</f>
        <v>16875.60182</v>
      </c>
      <c r="CF55" s="54">
        <f>(CF38-CF46)*IF(CF1&gt;Assumptions!$D$68*12,0,1)</f>
        <v>16875.60182</v>
      </c>
      <c r="CG55" s="54">
        <f>(CG38-CG46)*IF(CG1&gt;Assumptions!$D$68*12,0,1)</f>
        <v>16875.60182</v>
      </c>
      <c r="CH55" s="54">
        <f>(CH38-CH46)*IF(CH1&gt;Assumptions!$D$68*12,0,1)</f>
        <v>16875.60182</v>
      </c>
      <c r="CI55" s="54">
        <f>(CI38-CI46)*IF(CI1&gt;Assumptions!$D$68*12,0,1)</f>
        <v>16875.60182</v>
      </c>
      <c r="CJ55" s="54">
        <f>(CJ38-CJ46)*IF(CJ1&gt;Assumptions!$D$68*12,0,1)</f>
        <v>18047.41749</v>
      </c>
      <c r="CK55" s="54">
        <f>(CK38-CK46)*IF(CK1&gt;Assumptions!$D$68*12,0,1)</f>
        <v>18047.41749</v>
      </c>
      <c r="CL55" s="54">
        <f>(CL38-CL46)*IF(CL1&gt;Assumptions!$D$68*12,0,1)</f>
        <v>18047.41749</v>
      </c>
      <c r="CM55" s="54">
        <f>(CM38-CM46)*IF(CM1&gt;Assumptions!$D$68*12,0,1)</f>
        <v>18047.41749</v>
      </c>
      <c r="CN55" s="54">
        <f>(CN38-CN46)*IF(CN1&gt;Assumptions!$D$68*12,0,1)</f>
        <v>18047.41749</v>
      </c>
      <c r="CO55" s="54">
        <f>(CO38-CO46)*IF(CO1&gt;Assumptions!$D$68*12,0,1)</f>
        <v>18047.41749</v>
      </c>
      <c r="CP55" s="54">
        <f>(CP38-CP46)*IF(CP1&gt;Assumptions!$D$68*12,0,1)</f>
        <v>18047.41749</v>
      </c>
      <c r="CQ55" s="54">
        <f>(CQ38-CQ46)*IF(CQ1&gt;Assumptions!$D$68*12,0,1)</f>
        <v>18047.41749</v>
      </c>
      <c r="CR55" s="54">
        <f>(CR38-CR46)*IF(CR1&gt;Assumptions!$D$68*12,0,1)</f>
        <v>18047.41749</v>
      </c>
      <c r="CS55" s="54">
        <f>(CS38-CS46)*IF(CS1&gt;Assumptions!$D$68*12,0,1)</f>
        <v>18047.41749</v>
      </c>
      <c r="CT55" s="54">
        <f>(CT38-CT46)*IF(CT1&gt;Assumptions!$D$68*12,0,1)</f>
        <v>18047.41749</v>
      </c>
      <c r="CU55" s="54">
        <f>(CU38-CU46)*IF(CU1&gt;Assumptions!$D$68*12,0,1)</f>
        <v>18047.41749</v>
      </c>
      <c r="CV55" s="54">
        <f>(CV38-CV46)*IF(CV1&gt;Assumptions!$D$68*12,0,1)</f>
        <v>19254.38763</v>
      </c>
      <c r="CW55" s="54">
        <f>(CW38-CW46)*IF(CW1&gt;Assumptions!$D$68*12,0,1)</f>
        <v>19254.38763</v>
      </c>
      <c r="CX55" s="54">
        <f>(CX38-CX46)*IF(CX1&gt;Assumptions!$D$68*12,0,1)</f>
        <v>19254.38763</v>
      </c>
      <c r="CY55" s="54">
        <f>(CY38-CY46)*IF(CY1&gt;Assumptions!$D$68*12,0,1)</f>
        <v>19254.38763</v>
      </c>
      <c r="CZ55" s="54">
        <f>(CZ38-CZ46)*IF(CZ1&gt;Assumptions!$D$68*12,0,1)</f>
        <v>19254.38763</v>
      </c>
      <c r="DA55" s="54">
        <f>(DA38-DA46)*IF(DA1&gt;Assumptions!$D$68*12,0,1)</f>
        <v>19254.38763</v>
      </c>
      <c r="DB55" s="54">
        <f>(DB38-DB46)*IF(DB1&gt;Assumptions!$D$68*12,0,1)</f>
        <v>19254.38763</v>
      </c>
      <c r="DC55" s="54">
        <f>(DC38-DC46)*IF(DC1&gt;Assumptions!$D$68*12,0,1)</f>
        <v>19254.38763</v>
      </c>
      <c r="DD55" s="54">
        <f>(DD38-DD46)*IF(DD1&gt;Assumptions!$D$68*12,0,1)</f>
        <v>19254.38763</v>
      </c>
      <c r="DE55" s="54">
        <f>(DE38-DE46)*IF(DE1&gt;Assumptions!$D$68*12,0,1)</f>
        <v>19254.38763</v>
      </c>
      <c r="DF55" s="54">
        <f>(DF38-DF46)*IF(DF1&gt;Assumptions!$D$68*12,0,1)</f>
        <v>19254.38763</v>
      </c>
      <c r="DG55" s="54">
        <f>(DG38-DG46)*IF(DG1&gt;Assumptions!$D$68*12,0,1)</f>
        <v>19254.38763</v>
      </c>
      <c r="DH55" s="54">
        <f>(DH38-DH46)*IF(DH1&gt;Assumptions!$D$68*12,0,1)</f>
        <v>20497.56688</v>
      </c>
      <c r="DI55" s="54">
        <f>(DI38-DI46)*IF(DI1&gt;Assumptions!$D$68*12,0,1)</f>
        <v>20497.56688</v>
      </c>
      <c r="DJ55" s="54">
        <f>(DJ38-DJ46)*IF(DJ1&gt;Assumptions!$D$68*12,0,1)</f>
        <v>20497.56688</v>
      </c>
      <c r="DK55" s="54">
        <f>(DK38-DK46)*IF(DK1&gt;Assumptions!$D$68*12,0,1)</f>
        <v>20497.56688</v>
      </c>
      <c r="DL55" s="54">
        <f>(DL38-DL46)*IF(DL1&gt;Assumptions!$D$68*12,0,1)</f>
        <v>20497.56688</v>
      </c>
      <c r="DM55" s="54">
        <f>(DM38-DM46)*IF(DM1&gt;Assumptions!$D$68*12,0,1)</f>
        <v>20497.56688</v>
      </c>
      <c r="DN55" s="54">
        <f>(DN38-DN46)*IF(DN1&gt;Assumptions!$D$68*12,0,1)</f>
        <v>20497.56688</v>
      </c>
      <c r="DO55" s="54">
        <f>(DO38-DO46)*IF(DO1&gt;Assumptions!$D$68*12,0,1)</f>
        <v>20497.56688</v>
      </c>
      <c r="DP55" s="54">
        <f>(DP38-DP46)*IF(DP1&gt;Assumptions!$D$68*12,0,1)</f>
        <v>20497.56688</v>
      </c>
      <c r="DQ55" s="54">
        <f>(DQ38-DQ46)*IF(DQ1&gt;Assumptions!$D$68*12,0,1)</f>
        <v>20497.56688</v>
      </c>
      <c r="DR55" s="54">
        <f>(DR38-DR46)*IF(DR1&gt;Assumptions!$D$68*12,0,1)</f>
        <v>20497.56688</v>
      </c>
      <c r="DS55" s="54">
        <f>(DS38-DS46)*IF(DS1&gt;Assumptions!$D$68*12,0,1)</f>
        <v>20497.56688</v>
      </c>
      <c r="DT55" s="54">
        <f>(DT38-DT46)*IF(DT1&gt;Assumptions!$D$68*12,0,1)</f>
        <v>0</v>
      </c>
      <c r="DU55" s="54">
        <f>(DU38-DU46)*IF(DU1&gt;Assumptions!$D$68*12,0,1)</f>
        <v>0</v>
      </c>
      <c r="DV55" s="54">
        <f>(DV38-DV46)*IF(DV1&gt;Assumptions!$D$68*12,0,1)</f>
        <v>0</v>
      </c>
      <c r="DW55" s="54">
        <f>(DW38-DW46)*IF(DW1&gt;Assumptions!$D$68*12,0,1)</f>
        <v>0</v>
      </c>
      <c r="DX55" s="54">
        <f>(DX38-DX46)*IF(DX1&gt;Assumptions!$D$68*12,0,1)</f>
        <v>0</v>
      </c>
      <c r="DY55" s="54">
        <f>(DY38-DY46)*IF(DY1&gt;Assumptions!$D$68*12,0,1)</f>
        <v>0</v>
      </c>
      <c r="DZ55" s="54">
        <f>(DZ38-DZ46)*IF(DZ1&gt;Assumptions!$D$68*12,0,1)</f>
        <v>0</v>
      </c>
      <c r="EA55" s="54">
        <f>(EA38-EA46)*IF(EA1&gt;Assumptions!$D$68*12,0,1)</f>
        <v>0</v>
      </c>
      <c r="EB55" s="54">
        <f>(EB38-EB46)*IF(EB1&gt;Assumptions!$D$68*12,0,1)</f>
        <v>0</v>
      </c>
      <c r="EC55" s="54">
        <f>(EC38-EC46)*IF(EC1&gt;Assumptions!$D$68*12,0,1)</f>
        <v>0</v>
      </c>
      <c r="ED55" s="54">
        <f>(ED38-ED46)*IF(ED1&gt;Assumptions!$D$68*12,0,1)</f>
        <v>0</v>
      </c>
      <c r="EE55" s="54">
        <f>(EE38-EE46)*IF(EE1&gt;Assumptions!$D$68*12,0,1)</f>
        <v>0</v>
      </c>
    </row>
    <row r="56" ht="15.75" customHeight="1">
      <c r="A56" s="1"/>
      <c r="B56" s="1"/>
      <c r="C56" s="1" t="s">
        <v>153</v>
      </c>
      <c r="D56" s="54">
        <f t="shared" ref="D56:EE56" si="12">D53</f>
        <v>0</v>
      </c>
      <c r="E56" s="54">
        <f t="shared" si="12"/>
        <v>0</v>
      </c>
      <c r="F56" s="54">
        <f t="shared" si="12"/>
        <v>0</v>
      </c>
      <c r="G56" s="54">
        <f t="shared" si="12"/>
        <v>0</v>
      </c>
      <c r="H56" s="54">
        <f t="shared" si="12"/>
        <v>0</v>
      </c>
      <c r="I56" s="54">
        <f t="shared" si="12"/>
        <v>0</v>
      </c>
      <c r="J56" s="54">
        <f t="shared" si="12"/>
        <v>0</v>
      </c>
      <c r="K56" s="54">
        <f t="shared" si="12"/>
        <v>0</v>
      </c>
      <c r="L56" s="54">
        <f t="shared" si="12"/>
        <v>0</v>
      </c>
      <c r="M56" s="54">
        <f t="shared" si="12"/>
        <v>0</v>
      </c>
      <c r="N56" s="54">
        <f t="shared" si="12"/>
        <v>0</v>
      </c>
      <c r="O56" s="54">
        <f t="shared" si="12"/>
        <v>0</v>
      </c>
      <c r="P56" s="54">
        <f t="shared" si="12"/>
        <v>0</v>
      </c>
      <c r="Q56" s="54">
        <f t="shared" si="12"/>
        <v>0</v>
      </c>
      <c r="R56" s="54">
        <f t="shared" si="12"/>
        <v>0</v>
      </c>
      <c r="S56" s="54">
        <f t="shared" si="12"/>
        <v>0</v>
      </c>
      <c r="T56" s="54">
        <f t="shared" si="12"/>
        <v>0</v>
      </c>
      <c r="U56" s="54">
        <f t="shared" si="12"/>
        <v>0</v>
      </c>
      <c r="V56" s="54">
        <f t="shared" si="12"/>
        <v>0</v>
      </c>
      <c r="W56" s="54">
        <f t="shared" si="12"/>
        <v>0</v>
      </c>
      <c r="X56" s="54">
        <f t="shared" si="12"/>
        <v>0</v>
      </c>
      <c r="Y56" s="54">
        <f t="shared" si="12"/>
        <v>0</v>
      </c>
      <c r="Z56" s="54">
        <f t="shared" si="12"/>
        <v>0</v>
      </c>
      <c r="AA56" s="54">
        <f t="shared" si="12"/>
        <v>0</v>
      </c>
      <c r="AB56" s="54">
        <f t="shared" si="12"/>
        <v>0</v>
      </c>
      <c r="AC56" s="54">
        <f t="shared" si="12"/>
        <v>0</v>
      </c>
      <c r="AD56" s="54">
        <f t="shared" si="12"/>
        <v>0</v>
      </c>
      <c r="AE56" s="54">
        <f t="shared" si="12"/>
        <v>0</v>
      </c>
      <c r="AF56" s="54">
        <f t="shared" si="12"/>
        <v>0</v>
      </c>
      <c r="AG56" s="54">
        <f t="shared" si="12"/>
        <v>0</v>
      </c>
      <c r="AH56" s="54">
        <f t="shared" si="12"/>
        <v>0</v>
      </c>
      <c r="AI56" s="54">
        <f t="shared" si="12"/>
        <v>0</v>
      </c>
      <c r="AJ56" s="54">
        <f t="shared" si="12"/>
        <v>0</v>
      </c>
      <c r="AK56" s="54">
        <f t="shared" si="12"/>
        <v>0</v>
      </c>
      <c r="AL56" s="54">
        <f t="shared" si="12"/>
        <v>0</v>
      </c>
      <c r="AM56" s="54">
        <f t="shared" si="12"/>
        <v>0</v>
      </c>
      <c r="AN56" s="54">
        <f t="shared" si="12"/>
        <v>0</v>
      </c>
      <c r="AO56" s="54">
        <f t="shared" si="12"/>
        <v>0</v>
      </c>
      <c r="AP56" s="54">
        <f t="shared" si="12"/>
        <v>0</v>
      </c>
      <c r="AQ56" s="54">
        <f t="shared" si="12"/>
        <v>0</v>
      </c>
      <c r="AR56" s="54">
        <f t="shared" si="12"/>
        <v>0</v>
      </c>
      <c r="AS56" s="54">
        <f t="shared" si="12"/>
        <v>0</v>
      </c>
      <c r="AT56" s="54">
        <f t="shared" si="12"/>
        <v>0</v>
      </c>
      <c r="AU56" s="54">
        <f t="shared" si="12"/>
        <v>0</v>
      </c>
      <c r="AV56" s="54">
        <f t="shared" si="12"/>
        <v>0</v>
      </c>
      <c r="AW56" s="54">
        <f t="shared" si="12"/>
        <v>0</v>
      </c>
      <c r="AX56" s="54">
        <f t="shared" si="12"/>
        <v>0</v>
      </c>
      <c r="AY56" s="54">
        <f t="shared" si="12"/>
        <v>0</v>
      </c>
      <c r="AZ56" s="54">
        <f t="shared" si="12"/>
        <v>0</v>
      </c>
      <c r="BA56" s="54">
        <f t="shared" si="12"/>
        <v>0</v>
      </c>
      <c r="BB56" s="54">
        <f t="shared" si="12"/>
        <v>0</v>
      </c>
      <c r="BC56" s="54">
        <f t="shared" si="12"/>
        <v>0</v>
      </c>
      <c r="BD56" s="54">
        <f t="shared" si="12"/>
        <v>0</v>
      </c>
      <c r="BE56" s="54">
        <f t="shared" si="12"/>
        <v>0</v>
      </c>
      <c r="BF56" s="54">
        <f t="shared" si="12"/>
        <v>0</v>
      </c>
      <c r="BG56" s="54">
        <f t="shared" si="12"/>
        <v>0</v>
      </c>
      <c r="BH56" s="54">
        <f t="shared" si="12"/>
        <v>0</v>
      </c>
      <c r="BI56" s="54">
        <f t="shared" si="12"/>
        <v>0</v>
      </c>
      <c r="BJ56" s="54">
        <f t="shared" si="12"/>
        <v>0</v>
      </c>
      <c r="BK56" s="54">
        <f t="shared" si="12"/>
        <v>0</v>
      </c>
      <c r="BL56" s="54">
        <f t="shared" si="12"/>
        <v>0</v>
      </c>
      <c r="BM56" s="54">
        <f t="shared" si="12"/>
        <v>0</v>
      </c>
      <c r="BN56" s="54">
        <f t="shared" si="12"/>
        <v>0</v>
      </c>
      <c r="BO56" s="54">
        <f t="shared" si="12"/>
        <v>0</v>
      </c>
      <c r="BP56" s="54">
        <f t="shared" si="12"/>
        <v>0</v>
      </c>
      <c r="BQ56" s="54">
        <f t="shared" si="12"/>
        <v>0</v>
      </c>
      <c r="BR56" s="54">
        <f t="shared" si="12"/>
        <v>0</v>
      </c>
      <c r="BS56" s="54">
        <f t="shared" si="12"/>
        <v>0</v>
      </c>
      <c r="BT56" s="54">
        <f t="shared" si="12"/>
        <v>0</v>
      </c>
      <c r="BU56" s="54">
        <f t="shared" si="12"/>
        <v>0</v>
      </c>
      <c r="BV56" s="54">
        <f t="shared" si="12"/>
        <v>0</v>
      </c>
      <c r="BW56" s="54">
        <f t="shared" si="12"/>
        <v>0</v>
      </c>
      <c r="BX56" s="54">
        <f t="shared" si="12"/>
        <v>0</v>
      </c>
      <c r="BY56" s="54">
        <f t="shared" si="12"/>
        <v>0</v>
      </c>
      <c r="BZ56" s="54">
        <f t="shared" si="12"/>
        <v>0</v>
      </c>
      <c r="CA56" s="54">
        <f t="shared" si="12"/>
        <v>0</v>
      </c>
      <c r="CB56" s="54">
        <f t="shared" si="12"/>
        <v>0</v>
      </c>
      <c r="CC56" s="54">
        <f t="shared" si="12"/>
        <v>0</v>
      </c>
      <c r="CD56" s="54">
        <f t="shared" si="12"/>
        <v>0</v>
      </c>
      <c r="CE56" s="54">
        <f t="shared" si="12"/>
        <v>0</v>
      </c>
      <c r="CF56" s="54">
        <f t="shared" si="12"/>
        <v>0</v>
      </c>
      <c r="CG56" s="54">
        <f t="shared" si="12"/>
        <v>0</v>
      </c>
      <c r="CH56" s="54">
        <f t="shared" si="12"/>
        <v>0</v>
      </c>
      <c r="CI56" s="54">
        <f t="shared" si="12"/>
        <v>0</v>
      </c>
      <c r="CJ56" s="54">
        <f t="shared" si="12"/>
        <v>0</v>
      </c>
      <c r="CK56" s="54">
        <f t="shared" si="12"/>
        <v>0</v>
      </c>
      <c r="CL56" s="54">
        <f t="shared" si="12"/>
        <v>0</v>
      </c>
      <c r="CM56" s="54">
        <f t="shared" si="12"/>
        <v>0</v>
      </c>
      <c r="CN56" s="54">
        <f t="shared" si="12"/>
        <v>0</v>
      </c>
      <c r="CO56" s="54">
        <f t="shared" si="12"/>
        <v>0</v>
      </c>
      <c r="CP56" s="54">
        <f t="shared" si="12"/>
        <v>0</v>
      </c>
      <c r="CQ56" s="54">
        <f t="shared" si="12"/>
        <v>0</v>
      </c>
      <c r="CR56" s="54">
        <f t="shared" si="12"/>
        <v>0</v>
      </c>
      <c r="CS56" s="54">
        <f t="shared" si="12"/>
        <v>0</v>
      </c>
      <c r="CT56" s="54">
        <f t="shared" si="12"/>
        <v>0</v>
      </c>
      <c r="CU56" s="54">
        <f t="shared" si="12"/>
        <v>0</v>
      </c>
      <c r="CV56" s="54">
        <f t="shared" si="12"/>
        <v>0</v>
      </c>
      <c r="CW56" s="54">
        <f t="shared" si="12"/>
        <v>0</v>
      </c>
      <c r="CX56" s="54">
        <f t="shared" si="12"/>
        <v>0</v>
      </c>
      <c r="CY56" s="54">
        <f t="shared" si="12"/>
        <v>0</v>
      </c>
      <c r="CZ56" s="54">
        <f t="shared" si="12"/>
        <v>0</v>
      </c>
      <c r="DA56" s="54">
        <f t="shared" si="12"/>
        <v>0</v>
      </c>
      <c r="DB56" s="54">
        <f t="shared" si="12"/>
        <v>0</v>
      </c>
      <c r="DC56" s="54">
        <f t="shared" si="12"/>
        <v>0</v>
      </c>
      <c r="DD56" s="54">
        <f t="shared" si="12"/>
        <v>0</v>
      </c>
      <c r="DE56" s="54">
        <f t="shared" si="12"/>
        <v>0</v>
      </c>
      <c r="DF56" s="54">
        <f t="shared" si="12"/>
        <v>0</v>
      </c>
      <c r="DG56" s="54">
        <f t="shared" si="12"/>
        <v>0</v>
      </c>
      <c r="DH56" s="54">
        <f t="shared" si="12"/>
        <v>0</v>
      </c>
      <c r="DI56" s="54">
        <f t="shared" si="12"/>
        <v>0</v>
      </c>
      <c r="DJ56" s="54">
        <f t="shared" si="12"/>
        <v>0</v>
      </c>
      <c r="DK56" s="54">
        <f t="shared" si="12"/>
        <v>0</v>
      </c>
      <c r="DL56" s="54">
        <f t="shared" si="12"/>
        <v>0</v>
      </c>
      <c r="DM56" s="54">
        <f t="shared" si="12"/>
        <v>0</v>
      </c>
      <c r="DN56" s="54">
        <f t="shared" si="12"/>
        <v>0</v>
      </c>
      <c r="DO56" s="54">
        <f t="shared" si="12"/>
        <v>0</v>
      </c>
      <c r="DP56" s="54">
        <f t="shared" si="12"/>
        <v>0</v>
      </c>
      <c r="DQ56" s="54">
        <f t="shared" si="12"/>
        <v>0</v>
      </c>
      <c r="DR56" s="54">
        <f t="shared" si="12"/>
        <v>0</v>
      </c>
      <c r="DS56" s="54">
        <f t="shared" si="12"/>
        <v>4796276.921</v>
      </c>
      <c r="DT56" s="54">
        <f t="shared" si="12"/>
        <v>0</v>
      </c>
      <c r="DU56" s="54">
        <f t="shared" si="12"/>
        <v>0</v>
      </c>
      <c r="DV56" s="54">
        <f t="shared" si="12"/>
        <v>0</v>
      </c>
      <c r="DW56" s="54">
        <f t="shared" si="12"/>
        <v>0</v>
      </c>
      <c r="DX56" s="54">
        <f t="shared" si="12"/>
        <v>0</v>
      </c>
      <c r="DY56" s="54">
        <f t="shared" si="12"/>
        <v>0</v>
      </c>
      <c r="DZ56" s="54">
        <f t="shared" si="12"/>
        <v>0</v>
      </c>
      <c r="EA56" s="54">
        <f t="shared" si="12"/>
        <v>0</v>
      </c>
      <c r="EB56" s="54">
        <f t="shared" si="12"/>
        <v>0</v>
      </c>
      <c r="EC56" s="54">
        <f t="shared" si="12"/>
        <v>0</v>
      </c>
      <c r="ED56" s="54">
        <f t="shared" si="12"/>
        <v>0</v>
      </c>
      <c r="EE56" s="54">
        <f t="shared" si="12"/>
        <v>0</v>
      </c>
    </row>
    <row r="57" ht="15.75" customHeight="1">
      <c r="A57" s="1"/>
      <c r="B57" s="92"/>
      <c r="C57" s="47" t="s">
        <v>154</v>
      </c>
      <c r="D57" s="209">
        <f t="shared" ref="D57:EE57" si="13">SUM(D55:D56)</f>
        <v>29168.53676</v>
      </c>
      <c r="E57" s="209">
        <f t="shared" si="13"/>
        <v>29168.53676</v>
      </c>
      <c r="F57" s="209">
        <f t="shared" si="13"/>
        <v>29168.53676</v>
      </c>
      <c r="G57" s="209">
        <f t="shared" si="13"/>
        <v>29168.53676</v>
      </c>
      <c r="H57" s="209">
        <f t="shared" si="13"/>
        <v>29168.53676</v>
      </c>
      <c r="I57" s="209">
        <f t="shared" si="13"/>
        <v>29168.53676</v>
      </c>
      <c r="J57" s="209">
        <f t="shared" si="13"/>
        <v>29168.53676</v>
      </c>
      <c r="K57" s="209">
        <f t="shared" si="13"/>
        <v>29168.53676</v>
      </c>
      <c r="L57" s="209">
        <f t="shared" si="13"/>
        <v>29168.53676</v>
      </c>
      <c r="M57" s="209">
        <f t="shared" si="13"/>
        <v>29168.53676</v>
      </c>
      <c r="N57" s="209">
        <f t="shared" si="13"/>
        <v>29168.53676</v>
      </c>
      <c r="O57" s="209">
        <f t="shared" si="13"/>
        <v>29168.53676</v>
      </c>
      <c r="P57" s="209">
        <f t="shared" si="13"/>
        <v>33693.94971</v>
      </c>
      <c r="Q57" s="209">
        <f t="shared" si="13"/>
        <v>33693.94971</v>
      </c>
      <c r="R57" s="209">
        <f t="shared" si="13"/>
        <v>33693.94971</v>
      </c>
      <c r="S57" s="209">
        <f t="shared" si="13"/>
        <v>33693.94971</v>
      </c>
      <c r="T57" s="209">
        <f t="shared" si="13"/>
        <v>33693.94971</v>
      </c>
      <c r="U57" s="209">
        <f t="shared" si="13"/>
        <v>33693.94971</v>
      </c>
      <c r="V57" s="209">
        <f t="shared" si="13"/>
        <v>33693.94971</v>
      </c>
      <c r="W57" s="209">
        <f t="shared" si="13"/>
        <v>33693.94971</v>
      </c>
      <c r="X57" s="209">
        <f t="shared" si="13"/>
        <v>33693.94971</v>
      </c>
      <c r="Y57" s="209">
        <f t="shared" si="13"/>
        <v>33693.94971</v>
      </c>
      <c r="Z57" s="209">
        <f t="shared" si="13"/>
        <v>33693.94971</v>
      </c>
      <c r="AA57" s="209">
        <f t="shared" si="13"/>
        <v>33693.94971</v>
      </c>
      <c r="AB57" s="209">
        <f t="shared" si="13"/>
        <v>34704.7682</v>
      </c>
      <c r="AC57" s="209">
        <f t="shared" si="13"/>
        <v>34704.7682</v>
      </c>
      <c r="AD57" s="209">
        <f t="shared" si="13"/>
        <v>34704.7682</v>
      </c>
      <c r="AE57" s="209">
        <f t="shared" si="13"/>
        <v>34704.7682</v>
      </c>
      <c r="AF57" s="209">
        <f t="shared" si="13"/>
        <v>34704.7682</v>
      </c>
      <c r="AG57" s="209">
        <f t="shared" si="13"/>
        <v>34704.7682</v>
      </c>
      <c r="AH57" s="209">
        <f t="shared" si="13"/>
        <v>34704.7682</v>
      </c>
      <c r="AI57" s="209">
        <f t="shared" si="13"/>
        <v>34704.7682</v>
      </c>
      <c r="AJ57" s="209">
        <f t="shared" si="13"/>
        <v>34704.7682</v>
      </c>
      <c r="AK57" s="209">
        <f t="shared" si="13"/>
        <v>34704.7682</v>
      </c>
      <c r="AL57" s="209">
        <f t="shared" si="13"/>
        <v>34704.7682</v>
      </c>
      <c r="AM57" s="209">
        <f t="shared" si="13"/>
        <v>34704.7682</v>
      </c>
      <c r="AN57" s="209">
        <f t="shared" si="13"/>
        <v>13560.99071</v>
      </c>
      <c r="AO57" s="209">
        <f t="shared" si="13"/>
        <v>13560.99071</v>
      </c>
      <c r="AP57" s="209">
        <f t="shared" si="13"/>
        <v>13560.99071</v>
      </c>
      <c r="AQ57" s="209">
        <f t="shared" si="13"/>
        <v>13560.99071</v>
      </c>
      <c r="AR57" s="209">
        <f t="shared" si="13"/>
        <v>13560.99071</v>
      </c>
      <c r="AS57" s="209">
        <f t="shared" si="13"/>
        <v>13560.99071</v>
      </c>
      <c r="AT57" s="209">
        <f t="shared" si="13"/>
        <v>13560.99071</v>
      </c>
      <c r="AU57" s="209">
        <f t="shared" si="13"/>
        <v>13560.99071</v>
      </c>
      <c r="AV57" s="209">
        <f t="shared" si="13"/>
        <v>13560.99071</v>
      </c>
      <c r="AW57" s="209">
        <f t="shared" si="13"/>
        <v>13560.99071</v>
      </c>
      <c r="AX57" s="209">
        <f t="shared" si="13"/>
        <v>13560.99071</v>
      </c>
      <c r="AY57" s="209">
        <f t="shared" si="13"/>
        <v>13560.99071</v>
      </c>
      <c r="AZ57" s="209">
        <f t="shared" si="13"/>
        <v>14633.36805</v>
      </c>
      <c r="BA57" s="209">
        <f t="shared" si="13"/>
        <v>14633.36805</v>
      </c>
      <c r="BB57" s="209">
        <f t="shared" si="13"/>
        <v>14633.36805</v>
      </c>
      <c r="BC57" s="209">
        <f t="shared" si="13"/>
        <v>14633.36805</v>
      </c>
      <c r="BD57" s="209">
        <f t="shared" si="13"/>
        <v>14633.36805</v>
      </c>
      <c r="BE57" s="209">
        <f t="shared" si="13"/>
        <v>14633.36805</v>
      </c>
      <c r="BF57" s="209">
        <f t="shared" si="13"/>
        <v>14633.36805</v>
      </c>
      <c r="BG57" s="209">
        <f t="shared" si="13"/>
        <v>14633.36805</v>
      </c>
      <c r="BH57" s="209">
        <f t="shared" si="13"/>
        <v>14633.36805</v>
      </c>
      <c r="BI57" s="209">
        <f t="shared" si="13"/>
        <v>14633.36805</v>
      </c>
      <c r="BJ57" s="209">
        <f t="shared" si="13"/>
        <v>14633.36805</v>
      </c>
      <c r="BK57" s="209">
        <f t="shared" si="13"/>
        <v>14633.36805</v>
      </c>
      <c r="BL57" s="209">
        <f t="shared" si="13"/>
        <v>15737.9167</v>
      </c>
      <c r="BM57" s="209">
        <f t="shared" si="13"/>
        <v>15737.9167</v>
      </c>
      <c r="BN57" s="209">
        <f t="shared" si="13"/>
        <v>15737.9167</v>
      </c>
      <c r="BO57" s="209">
        <f t="shared" si="13"/>
        <v>15737.9167</v>
      </c>
      <c r="BP57" s="209">
        <f t="shared" si="13"/>
        <v>15737.9167</v>
      </c>
      <c r="BQ57" s="209">
        <f t="shared" si="13"/>
        <v>15737.9167</v>
      </c>
      <c r="BR57" s="209">
        <f t="shared" si="13"/>
        <v>15737.9167</v>
      </c>
      <c r="BS57" s="209">
        <f t="shared" si="13"/>
        <v>15737.9167</v>
      </c>
      <c r="BT57" s="209">
        <f t="shared" si="13"/>
        <v>15737.9167</v>
      </c>
      <c r="BU57" s="209">
        <f t="shared" si="13"/>
        <v>15737.9167</v>
      </c>
      <c r="BV57" s="209">
        <f t="shared" si="13"/>
        <v>15737.9167</v>
      </c>
      <c r="BW57" s="209">
        <f t="shared" si="13"/>
        <v>15737.9167</v>
      </c>
      <c r="BX57" s="209">
        <f t="shared" si="13"/>
        <v>16875.60182</v>
      </c>
      <c r="BY57" s="209">
        <f t="shared" si="13"/>
        <v>16875.60182</v>
      </c>
      <c r="BZ57" s="209">
        <f t="shared" si="13"/>
        <v>16875.60182</v>
      </c>
      <c r="CA57" s="209">
        <f t="shared" si="13"/>
        <v>16875.60182</v>
      </c>
      <c r="CB57" s="209">
        <f t="shared" si="13"/>
        <v>16875.60182</v>
      </c>
      <c r="CC57" s="209">
        <f t="shared" si="13"/>
        <v>16875.60182</v>
      </c>
      <c r="CD57" s="209">
        <f t="shared" si="13"/>
        <v>16875.60182</v>
      </c>
      <c r="CE57" s="209">
        <f t="shared" si="13"/>
        <v>16875.60182</v>
      </c>
      <c r="CF57" s="209">
        <f t="shared" si="13"/>
        <v>16875.60182</v>
      </c>
      <c r="CG57" s="209">
        <f t="shared" si="13"/>
        <v>16875.60182</v>
      </c>
      <c r="CH57" s="209">
        <f t="shared" si="13"/>
        <v>16875.60182</v>
      </c>
      <c r="CI57" s="209">
        <f t="shared" si="13"/>
        <v>16875.60182</v>
      </c>
      <c r="CJ57" s="209">
        <f t="shared" si="13"/>
        <v>18047.41749</v>
      </c>
      <c r="CK57" s="209">
        <f t="shared" si="13"/>
        <v>18047.41749</v>
      </c>
      <c r="CL57" s="209">
        <f t="shared" si="13"/>
        <v>18047.41749</v>
      </c>
      <c r="CM57" s="209">
        <f t="shared" si="13"/>
        <v>18047.41749</v>
      </c>
      <c r="CN57" s="209">
        <f t="shared" si="13"/>
        <v>18047.41749</v>
      </c>
      <c r="CO57" s="209">
        <f t="shared" si="13"/>
        <v>18047.41749</v>
      </c>
      <c r="CP57" s="209">
        <f t="shared" si="13"/>
        <v>18047.41749</v>
      </c>
      <c r="CQ57" s="209">
        <f t="shared" si="13"/>
        <v>18047.41749</v>
      </c>
      <c r="CR57" s="209">
        <f t="shared" si="13"/>
        <v>18047.41749</v>
      </c>
      <c r="CS57" s="209">
        <f t="shared" si="13"/>
        <v>18047.41749</v>
      </c>
      <c r="CT57" s="209">
        <f t="shared" si="13"/>
        <v>18047.41749</v>
      </c>
      <c r="CU57" s="209">
        <f t="shared" si="13"/>
        <v>18047.41749</v>
      </c>
      <c r="CV57" s="209">
        <f t="shared" si="13"/>
        <v>19254.38763</v>
      </c>
      <c r="CW57" s="209">
        <f t="shared" si="13"/>
        <v>19254.38763</v>
      </c>
      <c r="CX57" s="209">
        <f t="shared" si="13"/>
        <v>19254.38763</v>
      </c>
      <c r="CY57" s="209">
        <f t="shared" si="13"/>
        <v>19254.38763</v>
      </c>
      <c r="CZ57" s="209">
        <f t="shared" si="13"/>
        <v>19254.38763</v>
      </c>
      <c r="DA57" s="209">
        <f t="shared" si="13"/>
        <v>19254.38763</v>
      </c>
      <c r="DB57" s="209">
        <f t="shared" si="13"/>
        <v>19254.38763</v>
      </c>
      <c r="DC57" s="209">
        <f t="shared" si="13"/>
        <v>19254.38763</v>
      </c>
      <c r="DD57" s="209">
        <f t="shared" si="13"/>
        <v>19254.38763</v>
      </c>
      <c r="DE57" s="209">
        <f t="shared" si="13"/>
        <v>19254.38763</v>
      </c>
      <c r="DF57" s="209">
        <f t="shared" si="13"/>
        <v>19254.38763</v>
      </c>
      <c r="DG57" s="209">
        <f t="shared" si="13"/>
        <v>19254.38763</v>
      </c>
      <c r="DH57" s="209">
        <f t="shared" si="13"/>
        <v>20497.56688</v>
      </c>
      <c r="DI57" s="209">
        <f t="shared" si="13"/>
        <v>20497.56688</v>
      </c>
      <c r="DJ57" s="209">
        <f t="shared" si="13"/>
        <v>20497.56688</v>
      </c>
      <c r="DK57" s="209">
        <f t="shared" si="13"/>
        <v>20497.56688</v>
      </c>
      <c r="DL57" s="209">
        <f t="shared" si="13"/>
        <v>20497.56688</v>
      </c>
      <c r="DM57" s="209">
        <f t="shared" si="13"/>
        <v>20497.56688</v>
      </c>
      <c r="DN57" s="209">
        <f t="shared" si="13"/>
        <v>20497.56688</v>
      </c>
      <c r="DO57" s="209">
        <f t="shared" si="13"/>
        <v>20497.56688</v>
      </c>
      <c r="DP57" s="209">
        <f t="shared" si="13"/>
        <v>20497.56688</v>
      </c>
      <c r="DQ57" s="209">
        <f t="shared" si="13"/>
        <v>20497.56688</v>
      </c>
      <c r="DR57" s="209">
        <f t="shared" si="13"/>
        <v>20497.56688</v>
      </c>
      <c r="DS57" s="209">
        <f t="shared" si="13"/>
        <v>4816774.488</v>
      </c>
      <c r="DT57" s="209">
        <f t="shared" si="13"/>
        <v>0</v>
      </c>
      <c r="DU57" s="209">
        <f t="shared" si="13"/>
        <v>0</v>
      </c>
      <c r="DV57" s="209">
        <f t="shared" si="13"/>
        <v>0</v>
      </c>
      <c r="DW57" s="209">
        <f t="shared" si="13"/>
        <v>0</v>
      </c>
      <c r="DX57" s="209">
        <f t="shared" si="13"/>
        <v>0</v>
      </c>
      <c r="DY57" s="209">
        <f t="shared" si="13"/>
        <v>0</v>
      </c>
      <c r="DZ57" s="209">
        <f t="shared" si="13"/>
        <v>0</v>
      </c>
      <c r="EA57" s="209">
        <f t="shared" si="13"/>
        <v>0</v>
      </c>
      <c r="EB57" s="209">
        <f t="shared" si="13"/>
        <v>0</v>
      </c>
      <c r="EC57" s="209">
        <f t="shared" si="13"/>
        <v>0</v>
      </c>
      <c r="ED57" s="209">
        <f t="shared" si="13"/>
        <v>0</v>
      </c>
      <c r="EE57" s="209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54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84"/>
      <c r="B1" s="301" t="s">
        <v>192</v>
      </c>
      <c r="C1" s="84"/>
      <c r="D1" s="84">
        <v>1.0</v>
      </c>
      <c r="E1" s="84">
        <f t="shared" ref="E1:EE1" si="1">D1+1</f>
        <v>2</v>
      </c>
      <c r="F1" s="84">
        <f t="shared" si="1"/>
        <v>3</v>
      </c>
      <c r="G1" s="84">
        <f t="shared" si="1"/>
        <v>4</v>
      </c>
      <c r="H1" s="84">
        <f t="shared" si="1"/>
        <v>5</v>
      </c>
      <c r="I1" s="84">
        <f t="shared" si="1"/>
        <v>6</v>
      </c>
      <c r="J1" s="84">
        <f t="shared" si="1"/>
        <v>7</v>
      </c>
      <c r="K1" s="84">
        <f t="shared" si="1"/>
        <v>8</v>
      </c>
      <c r="L1" s="84">
        <f t="shared" si="1"/>
        <v>9</v>
      </c>
      <c r="M1" s="84">
        <f t="shared" si="1"/>
        <v>10</v>
      </c>
      <c r="N1" s="84">
        <f t="shared" si="1"/>
        <v>11</v>
      </c>
      <c r="O1" s="84">
        <f t="shared" si="1"/>
        <v>12</v>
      </c>
      <c r="P1" s="84">
        <f t="shared" si="1"/>
        <v>13</v>
      </c>
      <c r="Q1" s="84">
        <f t="shared" si="1"/>
        <v>14</v>
      </c>
      <c r="R1" s="84">
        <f t="shared" si="1"/>
        <v>15</v>
      </c>
      <c r="S1" s="84">
        <f t="shared" si="1"/>
        <v>16</v>
      </c>
      <c r="T1" s="84">
        <f t="shared" si="1"/>
        <v>17</v>
      </c>
      <c r="U1" s="84">
        <f t="shared" si="1"/>
        <v>18</v>
      </c>
      <c r="V1" s="84">
        <f t="shared" si="1"/>
        <v>19</v>
      </c>
      <c r="W1" s="84">
        <f t="shared" si="1"/>
        <v>20</v>
      </c>
      <c r="X1" s="84">
        <f t="shared" si="1"/>
        <v>21</v>
      </c>
      <c r="Y1" s="84">
        <f t="shared" si="1"/>
        <v>22</v>
      </c>
      <c r="Z1" s="84">
        <f t="shared" si="1"/>
        <v>23</v>
      </c>
      <c r="AA1" s="84">
        <f t="shared" si="1"/>
        <v>24</v>
      </c>
      <c r="AB1" s="84">
        <f t="shared" si="1"/>
        <v>25</v>
      </c>
      <c r="AC1" s="84">
        <f t="shared" si="1"/>
        <v>26</v>
      </c>
      <c r="AD1" s="84">
        <f t="shared" si="1"/>
        <v>27</v>
      </c>
      <c r="AE1" s="84">
        <f t="shared" si="1"/>
        <v>28</v>
      </c>
      <c r="AF1" s="84">
        <f t="shared" si="1"/>
        <v>29</v>
      </c>
      <c r="AG1" s="84">
        <f t="shared" si="1"/>
        <v>30</v>
      </c>
      <c r="AH1" s="84">
        <f t="shared" si="1"/>
        <v>31</v>
      </c>
      <c r="AI1" s="84">
        <f t="shared" si="1"/>
        <v>32</v>
      </c>
      <c r="AJ1" s="84">
        <f t="shared" si="1"/>
        <v>33</v>
      </c>
      <c r="AK1" s="84">
        <f t="shared" si="1"/>
        <v>34</v>
      </c>
      <c r="AL1" s="84">
        <f t="shared" si="1"/>
        <v>35</v>
      </c>
      <c r="AM1" s="84">
        <f t="shared" si="1"/>
        <v>36</v>
      </c>
      <c r="AN1" s="84">
        <f t="shared" si="1"/>
        <v>37</v>
      </c>
      <c r="AO1" s="84">
        <f t="shared" si="1"/>
        <v>38</v>
      </c>
      <c r="AP1" s="84">
        <f t="shared" si="1"/>
        <v>39</v>
      </c>
      <c r="AQ1" s="84">
        <f t="shared" si="1"/>
        <v>40</v>
      </c>
      <c r="AR1" s="84">
        <f t="shared" si="1"/>
        <v>41</v>
      </c>
      <c r="AS1" s="84">
        <f t="shared" si="1"/>
        <v>42</v>
      </c>
      <c r="AT1" s="84">
        <f t="shared" si="1"/>
        <v>43</v>
      </c>
      <c r="AU1" s="84">
        <f t="shared" si="1"/>
        <v>44</v>
      </c>
      <c r="AV1" s="84">
        <f t="shared" si="1"/>
        <v>45</v>
      </c>
      <c r="AW1" s="84">
        <f t="shared" si="1"/>
        <v>46</v>
      </c>
      <c r="AX1" s="84">
        <f t="shared" si="1"/>
        <v>47</v>
      </c>
      <c r="AY1" s="84">
        <f t="shared" si="1"/>
        <v>48</v>
      </c>
      <c r="AZ1" s="84">
        <f t="shared" si="1"/>
        <v>49</v>
      </c>
      <c r="BA1" s="84">
        <f t="shared" si="1"/>
        <v>50</v>
      </c>
      <c r="BB1" s="84">
        <f t="shared" si="1"/>
        <v>51</v>
      </c>
      <c r="BC1" s="84">
        <f t="shared" si="1"/>
        <v>52</v>
      </c>
      <c r="BD1" s="84">
        <f t="shared" si="1"/>
        <v>53</v>
      </c>
      <c r="BE1" s="84">
        <f t="shared" si="1"/>
        <v>54</v>
      </c>
      <c r="BF1" s="84">
        <f t="shared" si="1"/>
        <v>55</v>
      </c>
      <c r="BG1" s="84">
        <f t="shared" si="1"/>
        <v>56</v>
      </c>
      <c r="BH1" s="84">
        <f t="shared" si="1"/>
        <v>57</v>
      </c>
      <c r="BI1" s="84">
        <f t="shared" si="1"/>
        <v>58</v>
      </c>
      <c r="BJ1" s="84">
        <f t="shared" si="1"/>
        <v>59</v>
      </c>
      <c r="BK1" s="84">
        <f t="shared" si="1"/>
        <v>60</v>
      </c>
      <c r="BL1" s="84">
        <f t="shared" si="1"/>
        <v>61</v>
      </c>
      <c r="BM1" s="84">
        <f t="shared" si="1"/>
        <v>62</v>
      </c>
      <c r="BN1" s="84">
        <f t="shared" si="1"/>
        <v>63</v>
      </c>
      <c r="BO1" s="84">
        <f t="shared" si="1"/>
        <v>64</v>
      </c>
      <c r="BP1" s="84">
        <f t="shared" si="1"/>
        <v>65</v>
      </c>
      <c r="BQ1" s="84">
        <f t="shared" si="1"/>
        <v>66</v>
      </c>
      <c r="BR1" s="84">
        <f t="shared" si="1"/>
        <v>67</v>
      </c>
      <c r="BS1" s="84">
        <f t="shared" si="1"/>
        <v>68</v>
      </c>
      <c r="BT1" s="84">
        <f t="shared" si="1"/>
        <v>69</v>
      </c>
      <c r="BU1" s="84">
        <f t="shared" si="1"/>
        <v>70</v>
      </c>
      <c r="BV1" s="84">
        <f t="shared" si="1"/>
        <v>71</v>
      </c>
      <c r="BW1" s="84">
        <f t="shared" si="1"/>
        <v>72</v>
      </c>
      <c r="BX1" s="84">
        <f t="shared" si="1"/>
        <v>73</v>
      </c>
      <c r="BY1" s="84">
        <f t="shared" si="1"/>
        <v>74</v>
      </c>
      <c r="BZ1" s="84">
        <f t="shared" si="1"/>
        <v>75</v>
      </c>
      <c r="CA1" s="84">
        <f t="shared" si="1"/>
        <v>76</v>
      </c>
      <c r="CB1" s="84">
        <f t="shared" si="1"/>
        <v>77</v>
      </c>
      <c r="CC1" s="84">
        <f t="shared" si="1"/>
        <v>78</v>
      </c>
      <c r="CD1" s="84">
        <f t="shared" si="1"/>
        <v>79</v>
      </c>
      <c r="CE1" s="84">
        <f t="shared" si="1"/>
        <v>80</v>
      </c>
      <c r="CF1" s="84">
        <f t="shared" si="1"/>
        <v>81</v>
      </c>
      <c r="CG1" s="84">
        <f t="shared" si="1"/>
        <v>82</v>
      </c>
      <c r="CH1" s="84">
        <f t="shared" si="1"/>
        <v>83</v>
      </c>
      <c r="CI1" s="84">
        <f t="shared" si="1"/>
        <v>84</v>
      </c>
      <c r="CJ1" s="84">
        <f t="shared" si="1"/>
        <v>85</v>
      </c>
      <c r="CK1" s="84">
        <f t="shared" si="1"/>
        <v>86</v>
      </c>
      <c r="CL1" s="84">
        <f t="shared" si="1"/>
        <v>87</v>
      </c>
      <c r="CM1" s="84">
        <f t="shared" si="1"/>
        <v>88</v>
      </c>
      <c r="CN1" s="84">
        <f t="shared" si="1"/>
        <v>89</v>
      </c>
      <c r="CO1" s="84">
        <f t="shared" si="1"/>
        <v>90</v>
      </c>
      <c r="CP1" s="84">
        <f t="shared" si="1"/>
        <v>91</v>
      </c>
      <c r="CQ1" s="84">
        <f t="shared" si="1"/>
        <v>92</v>
      </c>
      <c r="CR1" s="84">
        <f t="shared" si="1"/>
        <v>93</v>
      </c>
      <c r="CS1" s="84">
        <f t="shared" si="1"/>
        <v>94</v>
      </c>
      <c r="CT1" s="84">
        <f t="shared" si="1"/>
        <v>95</v>
      </c>
      <c r="CU1" s="84">
        <f t="shared" si="1"/>
        <v>96</v>
      </c>
      <c r="CV1" s="84">
        <f t="shared" si="1"/>
        <v>97</v>
      </c>
      <c r="CW1" s="84">
        <f t="shared" si="1"/>
        <v>98</v>
      </c>
      <c r="CX1" s="84">
        <f t="shared" si="1"/>
        <v>99</v>
      </c>
      <c r="CY1" s="84">
        <f t="shared" si="1"/>
        <v>100</v>
      </c>
      <c r="CZ1" s="84">
        <f t="shared" si="1"/>
        <v>101</v>
      </c>
      <c r="DA1" s="84">
        <f t="shared" si="1"/>
        <v>102</v>
      </c>
      <c r="DB1" s="84">
        <f t="shared" si="1"/>
        <v>103</v>
      </c>
      <c r="DC1" s="84">
        <f t="shared" si="1"/>
        <v>104</v>
      </c>
      <c r="DD1" s="84">
        <f t="shared" si="1"/>
        <v>105</v>
      </c>
      <c r="DE1" s="84">
        <f t="shared" si="1"/>
        <v>106</v>
      </c>
      <c r="DF1" s="84">
        <f t="shared" si="1"/>
        <v>107</v>
      </c>
      <c r="DG1" s="84">
        <f t="shared" si="1"/>
        <v>108</v>
      </c>
      <c r="DH1" s="84">
        <f t="shared" si="1"/>
        <v>109</v>
      </c>
      <c r="DI1" s="84">
        <f t="shared" si="1"/>
        <v>110</v>
      </c>
      <c r="DJ1" s="84">
        <f t="shared" si="1"/>
        <v>111</v>
      </c>
      <c r="DK1" s="84">
        <f t="shared" si="1"/>
        <v>112</v>
      </c>
      <c r="DL1" s="84">
        <f t="shared" si="1"/>
        <v>113</v>
      </c>
      <c r="DM1" s="84">
        <f t="shared" si="1"/>
        <v>114</v>
      </c>
      <c r="DN1" s="84">
        <f t="shared" si="1"/>
        <v>115</v>
      </c>
      <c r="DO1" s="84">
        <f t="shared" si="1"/>
        <v>116</v>
      </c>
      <c r="DP1" s="84">
        <f t="shared" si="1"/>
        <v>117</v>
      </c>
      <c r="DQ1" s="84">
        <f t="shared" si="1"/>
        <v>118</v>
      </c>
      <c r="DR1" s="84">
        <f t="shared" si="1"/>
        <v>119</v>
      </c>
      <c r="DS1" s="84">
        <f t="shared" si="1"/>
        <v>120</v>
      </c>
      <c r="DT1" s="84">
        <f t="shared" si="1"/>
        <v>121</v>
      </c>
      <c r="DU1" s="84">
        <f t="shared" si="1"/>
        <v>122</v>
      </c>
      <c r="DV1" s="84">
        <f t="shared" si="1"/>
        <v>123</v>
      </c>
      <c r="DW1" s="84">
        <f t="shared" si="1"/>
        <v>124</v>
      </c>
      <c r="DX1" s="84">
        <f t="shared" si="1"/>
        <v>125</v>
      </c>
      <c r="DY1" s="84">
        <f t="shared" si="1"/>
        <v>126</v>
      </c>
      <c r="DZ1" s="84">
        <f t="shared" si="1"/>
        <v>127</v>
      </c>
      <c r="EA1" s="84">
        <f t="shared" si="1"/>
        <v>128</v>
      </c>
      <c r="EB1" s="84">
        <f t="shared" si="1"/>
        <v>129</v>
      </c>
      <c r="EC1" s="84">
        <f t="shared" si="1"/>
        <v>130</v>
      </c>
      <c r="ED1" s="84">
        <f t="shared" si="1"/>
        <v>131</v>
      </c>
      <c r="EE1" s="84">
        <f t="shared" si="1"/>
        <v>132</v>
      </c>
    </row>
    <row r="2" ht="15.75" customHeight="1">
      <c r="A2" s="84"/>
      <c r="B2" s="301" t="s">
        <v>136</v>
      </c>
      <c r="C2" s="84"/>
      <c r="D2" s="84">
        <f t="shared" ref="D2:EE2" si="2">ROUNDUP(D1/12,0)</f>
        <v>1</v>
      </c>
      <c r="E2" s="84">
        <f t="shared" si="2"/>
        <v>1</v>
      </c>
      <c r="F2" s="84">
        <f t="shared" si="2"/>
        <v>1</v>
      </c>
      <c r="G2" s="84">
        <f t="shared" si="2"/>
        <v>1</v>
      </c>
      <c r="H2" s="84">
        <f t="shared" si="2"/>
        <v>1</v>
      </c>
      <c r="I2" s="84">
        <f t="shared" si="2"/>
        <v>1</v>
      </c>
      <c r="J2" s="84">
        <f t="shared" si="2"/>
        <v>1</v>
      </c>
      <c r="K2" s="84">
        <f t="shared" si="2"/>
        <v>1</v>
      </c>
      <c r="L2" s="84">
        <f t="shared" si="2"/>
        <v>1</v>
      </c>
      <c r="M2" s="84">
        <f t="shared" si="2"/>
        <v>1</v>
      </c>
      <c r="N2" s="84">
        <f t="shared" si="2"/>
        <v>1</v>
      </c>
      <c r="O2" s="84">
        <f t="shared" si="2"/>
        <v>1</v>
      </c>
      <c r="P2" s="84">
        <f t="shared" si="2"/>
        <v>2</v>
      </c>
      <c r="Q2" s="84">
        <f t="shared" si="2"/>
        <v>2</v>
      </c>
      <c r="R2" s="84">
        <f t="shared" si="2"/>
        <v>2</v>
      </c>
      <c r="S2" s="84">
        <f t="shared" si="2"/>
        <v>2</v>
      </c>
      <c r="T2" s="84">
        <f t="shared" si="2"/>
        <v>2</v>
      </c>
      <c r="U2" s="84">
        <f t="shared" si="2"/>
        <v>2</v>
      </c>
      <c r="V2" s="84">
        <f t="shared" si="2"/>
        <v>2</v>
      </c>
      <c r="W2" s="84">
        <f t="shared" si="2"/>
        <v>2</v>
      </c>
      <c r="X2" s="84">
        <f t="shared" si="2"/>
        <v>2</v>
      </c>
      <c r="Y2" s="84">
        <f t="shared" si="2"/>
        <v>2</v>
      </c>
      <c r="Z2" s="84">
        <f t="shared" si="2"/>
        <v>2</v>
      </c>
      <c r="AA2" s="84">
        <f t="shared" si="2"/>
        <v>2</v>
      </c>
      <c r="AB2" s="84">
        <f t="shared" si="2"/>
        <v>3</v>
      </c>
      <c r="AC2" s="84">
        <f t="shared" si="2"/>
        <v>3</v>
      </c>
      <c r="AD2" s="84">
        <f t="shared" si="2"/>
        <v>3</v>
      </c>
      <c r="AE2" s="84">
        <f t="shared" si="2"/>
        <v>3</v>
      </c>
      <c r="AF2" s="84">
        <f t="shared" si="2"/>
        <v>3</v>
      </c>
      <c r="AG2" s="84">
        <f t="shared" si="2"/>
        <v>3</v>
      </c>
      <c r="AH2" s="84">
        <f t="shared" si="2"/>
        <v>3</v>
      </c>
      <c r="AI2" s="84">
        <f t="shared" si="2"/>
        <v>3</v>
      </c>
      <c r="AJ2" s="84">
        <f t="shared" si="2"/>
        <v>3</v>
      </c>
      <c r="AK2" s="84">
        <f t="shared" si="2"/>
        <v>3</v>
      </c>
      <c r="AL2" s="84">
        <f t="shared" si="2"/>
        <v>3</v>
      </c>
      <c r="AM2" s="84">
        <f t="shared" si="2"/>
        <v>3</v>
      </c>
      <c r="AN2" s="84">
        <f t="shared" si="2"/>
        <v>4</v>
      </c>
      <c r="AO2" s="84">
        <f t="shared" si="2"/>
        <v>4</v>
      </c>
      <c r="AP2" s="84">
        <f t="shared" si="2"/>
        <v>4</v>
      </c>
      <c r="AQ2" s="84">
        <f t="shared" si="2"/>
        <v>4</v>
      </c>
      <c r="AR2" s="84">
        <f t="shared" si="2"/>
        <v>4</v>
      </c>
      <c r="AS2" s="84">
        <f t="shared" si="2"/>
        <v>4</v>
      </c>
      <c r="AT2" s="84">
        <f t="shared" si="2"/>
        <v>4</v>
      </c>
      <c r="AU2" s="84">
        <f t="shared" si="2"/>
        <v>4</v>
      </c>
      <c r="AV2" s="84">
        <f t="shared" si="2"/>
        <v>4</v>
      </c>
      <c r="AW2" s="84">
        <f t="shared" si="2"/>
        <v>4</v>
      </c>
      <c r="AX2" s="84">
        <f t="shared" si="2"/>
        <v>4</v>
      </c>
      <c r="AY2" s="84">
        <f t="shared" si="2"/>
        <v>4</v>
      </c>
      <c r="AZ2" s="84">
        <f t="shared" si="2"/>
        <v>5</v>
      </c>
      <c r="BA2" s="84">
        <f t="shared" si="2"/>
        <v>5</v>
      </c>
      <c r="BB2" s="84">
        <f t="shared" si="2"/>
        <v>5</v>
      </c>
      <c r="BC2" s="84">
        <f t="shared" si="2"/>
        <v>5</v>
      </c>
      <c r="BD2" s="84">
        <f t="shared" si="2"/>
        <v>5</v>
      </c>
      <c r="BE2" s="84">
        <f t="shared" si="2"/>
        <v>5</v>
      </c>
      <c r="BF2" s="84">
        <f t="shared" si="2"/>
        <v>5</v>
      </c>
      <c r="BG2" s="84">
        <f t="shared" si="2"/>
        <v>5</v>
      </c>
      <c r="BH2" s="84">
        <f t="shared" si="2"/>
        <v>5</v>
      </c>
      <c r="BI2" s="84">
        <f t="shared" si="2"/>
        <v>5</v>
      </c>
      <c r="BJ2" s="84">
        <f t="shared" si="2"/>
        <v>5</v>
      </c>
      <c r="BK2" s="84">
        <f t="shared" si="2"/>
        <v>5</v>
      </c>
      <c r="BL2" s="84">
        <f t="shared" si="2"/>
        <v>6</v>
      </c>
      <c r="BM2" s="84">
        <f t="shared" si="2"/>
        <v>6</v>
      </c>
      <c r="BN2" s="84">
        <f t="shared" si="2"/>
        <v>6</v>
      </c>
      <c r="BO2" s="84">
        <f t="shared" si="2"/>
        <v>6</v>
      </c>
      <c r="BP2" s="84">
        <f t="shared" si="2"/>
        <v>6</v>
      </c>
      <c r="BQ2" s="84">
        <f t="shared" si="2"/>
        <v>6</v>
      </c>
      <c r="BR2" s="84">
        <f t="shared" si="2"/>
        <v>6</v>
      </c>
      <c r="BS2" s="84">
        <f t="shared" si="2"/>
        <v>6</v>
      </c>
      <c r="BT2" s="84">
        <f t="shared" si="2"/>
        <v>6</v>
      </c>
      <c r="BU2" s="84">
        <f t="shared" si="2"/>
        <v>6</v>
      </c>
      <c r="BV2" s="84">
        <f t="shared" si="2"/>
        <v>6</v>
      </c>
      <c r="BW2" s="84">
        <f t="shared" si="2"/>
        <v>6</v>
      </c>
      <c r="BX2" s="84">
        <f t="shared" si="2"/>
        <v>7</v>
      </c>
      <c r="BY2" s="84">
        <f t="shared" si="2"/>
        <v>7</v>
      </c>
      <c r="BZ2" s="84">
        <f t="shared" si="2"/>
        <v>7</v>
      </c>
      <c r="CA2" s="84">
        <f t="shared" si="2"/>
        <v>7</v>
      </c>
      <c r="CB2" s="84">
        <f t="shared" si="2"/>
        <v>7</v>
      </c>
      <c r="CC2" s="84">
        <f t="shared" si="2"/>
        <v>7</v>
      </c>
      <c r="CD2" s="84">
        <f t="shared" si="2"/>
        <v>7</v>
      </c>
      <c r="CE2" s="84">
        <f t="shared" si="2"/>
        <v>7</v>
      </c>
      <c r="CF2" s="84">
        <f t="shared" si="2"/>
        <v>7</v>
      </c>
      <c r="CG2" s="84">
        <f t="shared" si="2"/>
        <v>7</v>
      </c>
      <c r="CH2" s="84">
        <f t="shared" si="2"/>
        <v>7</v>
      </c>
      <c r="CI2" s="84">
        <f t="shared" si="2"/>
        <v>7</v>
      </c>
      <c r="CJ2" s="84">
        <f t="shared" si="2"/>
        <v>8</v>
      </c>
      <c r="CK2" s="84">
        <f t="shared" si="2"/>
        <v>8</v>
      </c>
      <c r="CL2" s="84">
        <f t="shared" si="2"/>
        <v>8</v>
      </c>
      <c r="CM2" s="84">
        <f t="shared" si="2"/>
        <v>8</v>
      </c>
      <c r="CN2" s="84">
        <f t="shared" si="2"/>
        <v>8</v>
      </c>
      <c r="CO2" s="84">
        <f t="shared" si="2"/>
        <v>8</v>
      </c>
      <c r="CP2" s="84">
        <f t="shared" si="2"/>
        <v>8</v>
      </c>
      <c r="CQ2" s="84">
        <f t="shared" si="2"/>
        <v>8</v>
      </c>
      <c r="CR2" s="84">
        <f t="shared" si="2"/>
        <v>8</v>
      </c>
      <c r="CS2" s="84">
        <f t="shared" si="2"/>
        <v>8</v>
      </c>
      <c r="CT2" s="84">
        <f t="shared" si="2"/>
        <v>8</v>
      </c>
      <c r="CU2" s="84">
        <f t="shared" si="2"/>
        <v>8</v>
      </c>
      <c r="CV2" s="84">
        <f t="shared" si="2"/>
        <v>9</v>
      </c>
      <c r="CW2" s="84">
        <f t="shared" si="2"/>
        <v>9</v>
      </c>
      <c r="CX2" s="84">
        <f t="shared" si="2"/>
        <v>9</v>
      </c>
      <c r="CY2" s="84">
        <f t="shared" si="2"/>
        <v>9</v>
      </c>
      <c r="CZ2" s="84">
        <f t="shared" si="2"/>
        <v>9</v>
      </c>
      <c r="DA2" s="84">
        <f t="shared" si="2"/>
        <v>9</v>
      </c>
      <c r="DB2" s="84">
        <f t="shared" si="2"/>
        <v>9</v>
      </c>
      <c r="DC2" s="84">
        <f t="shared" si="2"/>
        <v>9</v>
      </c>
      <c r="DD2" s="84">
        <f t="shared" si="2"/>
        <v>9</v>
      </c>
      <c r="DE2" s="84">
        <f t="shared" si="2"/>
        <v>9</v>
      </c>
      <c r="DF2" s="84">
        <f t="shared" si="2"/>
        <v>9</v>
      </c>
      <c r="DG2" s="84">
        <f t="shared" si="2"/>
        <v>9</v>
      </c>
      <c r="DH2" s="84">
        <f t="shared" si="2"/>
        <v>10</v>
      </c>
      <c r="DI2" s="84">
        <f t="shared" si="2"/>
        <v>10</v>
      </c>
      <c r="DJ2" s="84">
        <f t="shared" si="2"/>
        <v>10</v>
      </c>
      <c r="DK2" s="84">
        <f t="shared" si="2"/>
        <v>10</v>
      </c>
      <c r="DL2" s="84">
        <f t="shared" si="2"/>
        <v>10</v>
      </c>
      <c r="DM2" s="84">
        <f t="shared" si="2"/>
        <v>10</v>
      </c>
      <c r="DN2" s="84">
        <f t="shared" si="2"/>
        <v>10</v>
      </c>
      <c r="DO2" s="84">
        <f t="shared" si="2"/>
        <v>10</v>
      </c>
      <c r="DP2" s="84">
        <f t="shared" si="2"/>
        <v>10</v>
      </c>
      <c r="DQ2" s="84">
        <f t="shared" si="2"/>
        <v>10</v>
      </c>
      <c r="DR2" s="84">
        <f t="shared" si="2"/>
        <v>10</v>
      </c>
      <c r="DS2" s="84">
        <f t="shared" si="2"/>
        <v>10</v>
      </c>
      <c r="DT2" s="84">
        <f t="shared" si="2"/>
        <v>11</v>
      </c>
      <c r="DU2" s="84">
        <f t="shared" si="2"/>
        <v>11</v>
      </c>
      <c r="DV2" s="84">
        <f t="shared" si="2"/>
        <v>11</v>
      </c>
      <c r="DW2" s="84">
        <f t="shared" si="2"/>
        <v>11</v>
      </c>
      <c r="DX2" s="84">
        <f t="shared" si="2"/>
        <v>11</v>
      </c>
      <c r="DY2" s="84">
        <f t="shared" si="2"/>
        <v>11</v>
      </c>
      <c r="DZ2" s="84">
        <f t="shared" si="2"/>
        <v>11</v>
      </c>
      <c r="EA2" s="302">
        <f t="shared" si="2"/>
        <v>11</v>
      </c>
      <c r="EB2" s="84">
        <f t="shared" si="2"/>
        <v>11</v>
      </c>
      <c r="EC2" s="84">
        <f t="shared" si="2"/>
        <v>11</v>
      </c>
      <c r="ED2" s="84">
        <f t="shared" si="2"/>
        <v>11</v>
      </c>
      <c r="EE2" s="303">
        <f t="shared" si="2"/>
        <v>11</v>
      </c>
    </row>
    <row r="3" ht="15.75" customHeight="1">
      <c r="A3" s="1"/>
      <c r="B3" s="1"/>
      <c r="C3" s="1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9" t="s">
        <v>193</v>
      </c>
      <c r="C4" s="1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Assumptions!J5</f>
        <v>2x2</v>
      </c>
      <c r="D5" s="54">
        <f t="array" ref="D5">IF(D$2=1,Assumptions!$P5/12,(SUMIF($D$2:$EE$2,D$2-1,$D5:$EE5)/12)*(1+XLOOKUP(D$2,Assumptions!$C$94:$M$94,Assumptions!$C$97:$M$97)))</f>
        <v>74226.348</v>
      </c>
      <c r="E5" s="54">
        <f t="array" ref="E5">IF(E$2=1,Assumptions!$P5/12,(SUMIF($D$2:$EE$2,E$2-1,$D5:$EE5)/12)*(1+XLOOKUP(E$2,Assumptions!$C$94:$M$94,Assumptions!$C$97:$M$97)))</f>
        <v>74226.348</v>
      </c>
      <c r="F5" s="54">
        <f t="array" ref="F5">IF(F$2=1,Assumptions!$P5/12,(SUMIF($D$2:$EE$2,F$2-1,$D5:$EE5)/12)*(1+XLOOKUP(F$2,Assumptions!$C$94:$M$94,Assumptions!$C$97:$M$97)))</f>
        <v>74226.348</v>
      </c>
      <c r="G5" s="54">
        <f t="array" ref="G5">IF(G$2=1,Assumptions!$P5/12,(SUMIF($D$2:$EE$2,G$2-1,$D5:$EE5)/12)*(1+XLOOKUP(G$2,Assumptions!$C$94:$M$94,Assumptions!$C$97:$M$97)))</f>
        <v>74226.348</v>
      </c>
      <c r="H5" s="54">
        <f t="array" ref="H5">IF(H$2=1,Assumptions!$P5/12,(SUMIF($D$2:$EE$2,H$2-1,$D5:$EE5)/12)*(1+XLOOKUP(H$2,Assumptions!$C$94:$M$94,Assumptions!$C$97:$M$97)))</f>
        <v>74226.348</v>
      </c>
      <c r="I5" s="54">
        <f t="array" ref="I5">IF(I$2=1,Assumptions!$P5/12,(SUMIF($D$2:$EE$2,I$2-1,$D5:$EE5)/12)*(1+XLOOKUP(I$2,Assumptions!$C$94:$M$94,Assumptions!$C$97:$M$97)))</f>
        <v>74226.348</v>
      </c>
      <c r="J5" s="54">
        <f t="array" ref="J5">IF(J$2=1,Assumptions!$P5/12,(SUMIF($D$2:$EE$2,J$2-1,$D5:$EE5)/12)*(1+XLOOKUP(J$2,Assumptions!$C$94:$M$94,Assumptions!$C$97:$M$97)))</f>
        <v>74226.348</v>
      </c>
      <c r="K5" s="54">
        <f t="array" ref="K5">IF(K$2=1,Assumptions!$P5/12,(SUMIF($D$2:$EE$2,K$2-1,$D5:$EE5)/12)*(1+XLOOKUP(K$2,Assumptions!$C$94:$M$94,Assumptions!$C$97:$M$97)))</f>
        <v>74226.348</v>
      </c>
      <c r="L5" s="54">
        <f t="array" ref="L5">IF(L$2=1,Assumptions!$P5/12,(SUMIF($D$2:$EE$2,L$2-1,$D5:$EE5)/12)*(1+XLOOKUP(L$2,Assumptions!$C$94:$M$94,Assumptions!$C$97:$M$97)))</f>
        <v>74226.348</v>
      </c>
      <c r="M5" s="54">
        <f t="array" ref="M5">IF(M$2=1,Assumptions!$P5/12,(SUMIF($D$2:$EE$2,M$2-1,$D5:$EE5)/12)*(1+XLOOKUP(M$2,Assumptions!$C$94:$M$94,Assumptions!$C$97:$M$97)))</f>
        <v>74226.348</v>
      </c>
      <c r="N5" s="54">
        <f t="array" ref="N5">IF(N$2=1,Assumptions!$P5/12,(SUMIF($D$2:$EE$2,N$2-1,$D5:$EE5)/12)*(1+XLOOKUP(N$2,Assumptions!$C$94:$M$94,Assumptions!$C$97:$M$97)))</f>
        <v>74226.348</v>
      </c>
      <c r="O5" s="54">
        <f t="array" ref="O5">IF(O$2=1,Assumptions!$P5/12,(SUMIF($D$2:$EE$2,O$2-1,$D5:$EE5)/12)*(1+XLOOKUP(O$2,Assumptions!$C$94:$M$94,Assumptions!$C$97:$M$97)))</f>
        <v>74226.348</v>
      </c>
      <c r="P5" s="54">
        <f t="array" ref="P5">IF(P$2=1,Assumptions!$P5/12,(SUMIF($D$2:$EE$2,P$2-1,$D5:$EE5)/12)*(1+XLOOKUP(P$2,Assumptions!$C$94:$M$94,Assumptions!$C$97:$M$97)))</f>
        <v>76453.13844</v>
      </c>
      <c r="Q5" s="54">
        <f t="array" ref="Q5">IF(Q$2=1,Assumptions!$P5/12,(SUMIF($D$2:$EE$2,Q$2-1,$D5:$EE5)/12)*(1+XLOOKUP(Q$2,Assumptions!$C$94:$M$94,Assumptions!$C$97:$M$97)))</f>
        <v>76453.13844</v>
      </c>
      <c r="R5" s="54">
        <f t="array" ref="R5">IF(R$2=1,Assumptions!$P5/12,(SUMIF($D$2:$EE$2,R$2-1,$D5:$EE5)/12)*(1+XLOOKUP(R$2,Assumptions!$C$94:$M$94,Assumptions!$C$97:$M$97)))</f>
        <v>76453.13844</v>
      </c>
      <c r="S5" s="54">
        <f t="array" ref="S5">IF(S$2=1,Assumptions!$P5/12,(SUMIF($D$2:$EE$2,S$2-1,$D5:$EE5)/12)*(1+XLOOKUP(S$2,Assumptions!$C$94:$M$94,Assumptions!$C$97:$M$97)))</f>
        <v>76453.13844</v>
      </c>
      <c r="T5" s="54">
        <f t="array" ref="T5">IF(T$2=1,Assumptions!$P5/12,(SUMIF($D$2:$EE$2,T$2-1,$D5:$EE5)/12)*(1+XLOOKUP(T$2,Assumptions!$C$94:$M$94,Assumptions!$C$97:$M$97)))</f>
        <v>76453.13844</v>
      </c>
      <c r="U5" s="54">
        <f t="array" ref="U5">IF(U$2=1,Assumptions!$P5/12,(SUMIF($D$2:$EE$2,U$2-1,$D5:$EE5)/12)*(1+XLOOKUP(U$2,Assumptions!$C$94:$M$94,Assumptions!$C$97:$M$97)))</f>
        <v>76453.13844</v>
      </c>
      <c r="V5" s="54">
        <f t="array" ref="V5">IF(V$2=1,Assumptions!$P5/12,(SUMIF($D$2:$EE$2,V$2-1,$D5:$EE5)/12)*(1+XLOOKUP(V$2,Assumptions!$C$94:$M$94,Assumptions!$C$97:$M$97)))</f>
        <v>76453.13844</v>
      </c>
      <c r="W5" s="54">
        <f t="array" ref="W5">IF(W$2=1,Assumptions!$P5/12,(SUMIF($D$2:$EE$2,W$2-1,$D5:$EE5)/12)*(1+XLOOKUP(W$2,Assumptions!$C$94:$M$94,Assumptions!$C$97:$M$97)))</f>
        <v>76453.13844</v>
      </c>
      <c r="X5" s="54">
        <f t="array" ref="X5">IF(X$2=1,Assumptions!$P5/12,(SUMIF($D$2:$EE$2,X$2-1,$D5:$EE5)/12)*(1+XLOOKUP(X$2,Assumptions!$C$94:$M$94,Assumptions!$C$97:$M$97)))</f>
        <v>76453.13844</v>
      </c>
      <c r="Y5" s="54">
        <f t="array" ref="Y5">IF(Y$2=1,Assumptions!$P5/12,(SUMIF($D$2:$EE$2,Y$2-1,$D5:$EE5)/12)*(1+XLOOKUP(Y$2,Assumptions!$C$94:$M$94,Assumptions!$C$97:$M$97)))</f>
        <v>76453.13844</v>
      </c>
      <c r="Z5" s="54">
        <f t="array" ref="Z5">IF(Z$2=1,Assumptions!$P5/12,(SUMIF($D$2:$EE$2,Z$2-1,$D5:$EE5)/12)*(1+XLOOKUP(Z$2,Assumptions!$C$94:$M$94,Assumptions!$C$97:$M$97)))</f>
        <v>76453.13844</v>
      </c>
      <c r="AA5" s="54">
        <f t="array" ref="AA5">IF(AA$2=1,Assumptions!$P5/12,(SUMIF($D$2:$EE$2,AA$2-1,$D5:$EE5)/12)*(1+XLOOKUP(AA$2,Assumptions!$C$94:$M$94,Assumptions!$C$97:$M$97)))</f>
        <v>76453.13844</v>
      </c>
      <c r="AB5" s="54">
        <f t="array" ref="AB5">IF(AB$2=1,Assumptions!$P5/12,(SUMIF($D$2:$EE$2,AB$2-1,$D5:$EE5)/12)*(1+XLOOKUP(AB$2,Assumptions!$C$94:$M$94,Assumptions!$C$97:$M$97)))</f>
        <v>78746.73259</v>
      </c>
      <c r="AC5" s="54">
        <f t="array" ref="AC5">IF(AC$2=1,Assumptions!$P5/12,(SUMIF($D$2:$EE$2,AC$2-1,$D5:$EE5)/12)*(1+XLOOKUP(AC$2,Assumptions!$C$94:$M$94,Assumptions!$C$97:$M$97)))</f>
        <v>78746.73259</v>
      </c>
      <c r="AD5" s="54">
        <f t="array" ref="AD5">IF(AD$2=1,Assumptions!$P5/12,(SUMIF($D$2:$EE$2,AD$2-1,$D5:$EE5)/12)*(1+XLOOKUP(AD$2,Assumptions!$C$94:$M$94,Assumptions!$C$97:$M$97)))</f>
        <v>78746.73259</v>
      </c>
      <c r="AE5" s="54">
        <f t="array" ref="AE5">IF(AE$2=1,Assumptions!$P5/12,(SUMIF($D$2:$EE$2,AE$2-1,$D5:$EE5)/12)*(1+XLOOKUP(AE$2,Assumptions!$C$94:$M$94,Assumptions!$C$97:$M$97)))</f>
        <v>78746.73259</v>
      </c>
      <c r="AF5" s="54">
        <f t="array" ref="AF5">IF(AF$2=1,Assumptions!$P5/12,(SUMIF($D$2:$EE$2,AF$2-1,$D5:$EE5)/12)*(1+XLOOKUP(AF$2,Assumptions!$C$94:$M$94,Assumptions!$C$97:$M$97)))</f>
        <v>78746.73259</v>
      </c>
      <c r="AG5" s="54">
        <f t="array" ref="AG5">IF(AG$2=1,Assumptions!$P5/12,(SUMIF($D$2:$EE$2,AG$2-1,$D5:$EE5)/12)*(1+XLOOKUP(AG$2,Assumptions!$C$94:$M$94,Assumptions!$C$97:$M$97)))</f>
        <v>78746.73259</v>
      </c>
      <c r="AH5" s="54">
        <f t="array" ref="AH5">IF(AH$2=1,Assumptions!$P5/12,(SUMIF($D$2:$EE$2,AH$2-1,$D5:$EE5)/12)*(1+XLOOKUP(AH$2,Assumptions!$C$94:$M$94,Assumptions!$C$97:$M$97)))</f>
        <v>78746.73259</v>
      </c>
      <c r="AI5" s="54">
        <f t="array" ref="AI5">IF(AI$2=1,Assumptions!$P5/12,(SUMIF($D$2:$EE$2,AI$2-1,$D5:$EE5)/12)*(1+XLOOKUP(AI$2,Assumptions!$C$94:$M$94,Assumptions!$C$97:$M$97)))</f>
        <v>78746.73259</v>
      </c>
      <c r="AJ5" s="54">
        <f t="array" ref="AJ5">IF(AJ$2=1,Assumptions!$P5/12,(SUMIF($D$2:$EE$2,AJ$2-1,$D5:$EE5)/12)*(1+XLOOKUP(AJ$2,Assumptions!$C$94:$M$94,Assumptions!$C$97:$M$97)))</f>
        <v>78746.73259</v>
      </c>
      <c r="AK5" s="54">
        <f t="array" ref="AK5">IF(AK$2=1,Assumptions!$P5/12,(SUMIF($D$2:$EE$2,AK$2-1,$D5:$EE5)/12)*(1+XLOOKUP(AK$2,Assumptions!$C$94:$M$94,Assumptions!$C$97:$M$97)))</f>
        <v>78746.73259</v>
      </c>
      <c r="AL5" s="54">
        <f t="array" ref="AL5">IF(AL$2=1,Assumptions!$P5/12,(SUMIF($D$2:$EE$2,AL$2-1,$D5:$EE5)/12)*(1+XLOOKUP(AL$2,Assumptions!$C$94:$M$94,Assumptions!$C$97:$M$97)))</f>
        <v>78746.73259</v>
      </c>
      <c r="AM5" s="54">
        <f t="array" ref="AM5">IF(AM$2=1,Assumptions!$P5/12,(SUMIF($D$2:$EE$2,AM$2-1,$D5:$EE5)/12)*(1+XLOOKUP(AM$2,Assumptions!$C$94:$M$94,Assumptions!$C$97:$M$97)))</f>
        <v>78746.73259</v>
      </c>
      <c r="AN5" s="54">
        <f t="array" ref="AN5">IF(AN$2=1,Assumptions!$P5/12,(SUMIF($D$2:$EE$2,AN$2-1,$D5:$EE5)/12)*(1+XLOOKUP(AN$2,Assumptions!$C$94:$M$94,Assumptions!$C$97:$M$97)))</f>
        <v>81109.13457</v>
      </c>
      <c r="AO5" s="54">
        <f t="array" ref="AO5">IF(AO$2=1,Assumptions!$P5/12,(SUMIF($D$2:$EE$2,AO$2-1,$D5:$EE5)/12)*(1+XLOOKUP(AO$2,Assumptions!$C$94:$M$94,Assumptions!$C$97:$M$97)))</f>
        <v>81109.13457</v>
      </c>
      <c r="AP5" s="54">
        <f t="array" ref="AP5">IF(AP$2=1,Assumptions!$P5/12,(SUMIF($D$2:$EE$2,AP$2-1,$D5:$EE5)/12)*(1+XLOOKUP(AP$2,Assumptions!$C$94:$M$94,Assumptions!$C$97:$M$97)))</f>
        <v>81109.13457</v>
      </c>
      <c r="AQ5" s="54">
        <f t="array" ref="AQ5">IF(AQ$2=1,Assumptions!$P5/12,(SUMIF($D$2:$EE$2,AQ$2-1,$D5:$EE5)/12)*(1+XLOOKUP(AQ$2,Assumptions!$C$94:$M$94,Assumptions!$C$97:$M$97)))</f>
        <v>81109.13457</v>
      </c>
      <c r="AR5" s="54">
        <f t="array" ref="AR5">IF(AR$2=1,Assumptions!$P5/12,(SUMIF($D$2:$EE$2,AR$2-1,$D5:$EE5)/12)*(1+XLOOKUP(AR$2,Assumptions!$C$94:$M$94,Assumptions!$C$97:$M$97)))</f>
        <v>81109.13457</v>
      </c>
      <c r="AS5" s="54">
        <f t="array" ref="AS5">IF(AS$2=1,Assumptions!$P5/12,(SUMIF($D$2:$EE$2,AS$2-1,$D5:$EE5)/12)*(1+XLOOKUP(AS$2,Assumptions!$C$94:$M$94,Assumptions!$C$97:$M$97)))</f>
        <v>81109.13457</v>
      </c>
      <c r="AT5" s="54">
        <f t="array" ref="AT5">IF(AT$2=1,Assumptions!$P5/12,(SUMIF($D$2:$EE$2,AT$2-1,$D5:$EE5)/12)*(1+XLOOKUP(AT$2,Assumptions!$C$94:$M$94,Assumptions!$C$97:$M$97)))</f>
        <v>81109.13457</v>
      </c>
      <c r="AU5" s="54">
        <f t="array" ref="AU5">IF(AU$2=1,Assumptions!$P5/12,(SUMIF($D$2:$EE$2,AU$2-1,$D5:$EE5)/12)*(1+XLOOKUP(AU$2,Assumptions!$C$94:$M$94,Assumptions!$C$97:$M$97)))</f>
        <v>81109.13457</v>
      </c>
      <c r="AV5" s="54">
        <f t="array" ref="AV5">IF(AV$2=1,Assumptions!$P5/12,(SUMIF($D$2:$EE$2,AV$2-1,$D5:$EE5)/12)*(1+XLOOKUP(AV$2,Assumptions!$C$94:$M$94,Assumptions!$C$97:$M$97)))</f>
        <v>81109.13457</v>
      </c>
      <c r="AW5" s="54">
        <f t="array" ref="AW5">IF(AW$2=1,Assumptions!$P5/12,(SUMIF($D$2:$EE$2,AW$2-1,$D5:$EE5)/12)*(1+XLOOKUP(AW$2,Assumptions!$C$94:$M$94,Assumptions!$C$97:$M$97)))</f>
        <v>81109.13457</v>
      </c>
      <c r="AX5" s="54">
        <f t="array" ref="AX5">IF(AX$2=1,Assumptions!$P5/12,(SUMIF($D$2:$EE$2,AX$2-1,$D5:$EE5)/12)*(1+XLOOKUP(AX$2,Assumptions!$C$94:$M$94,Assumptions!$C$97:$M$97)))</f>
        <v>81109.13457</v>
      </c>
      <c r="AY5" s="54">
        <f t="array" ref="AY5">IF(AY$2=1,Assumptions!$P5/12,(SUMIF($D$2:$EE$2,AY$2-1,$D5:$EE5)/12)*(1+XLOOKUP(AY$2,Assumptions!$C$94:$M$94,Assumptions!$C$97:$M$97)))</f>
        <v>81109.13457</v>
      </c>
      <c r="AZ5" s="54">
        <f t="array" ref="AZ5">IF(AZ$2=1,Assumptions!$P5/12,(SUMIF($D$2:$EE$2,AZ$2-1,$D5:$EE5)/12)*(1+XLOOKUP(AZ$2,Assumptions!$C$94:$M$94,Assumptions!$C$97:$M$97)))</f>
        <v>83542.40861</v>
      </c>
      <c r="BA5" s="54">
        <f t="array" ref="BA5">IF(BA$2=1,Assumptions!$P5/12,(SUMIF($D$2:$EE$2,BA$2-1,$D5:$EE5)/12)*(1+XLOOKUP(BA$2,Assumptions!$C$94:$M$94,Assumptions!$C$97:$M$97)))</f>
        <v>83542.40861</v>
      </c>
      <c r="BB5" s="54">
        <f t="array" ref="BB5">IF(BB$2=1,Assumptions!$P5/12,(SUMIF($D$2:$EE$2,BB$2-1,$D5:$EE5)/12)*(1+XLOOKUP(BB$2,Assumptions!$C$94:$M$94,Assumptions!$C$97:$M$97)))</f>
        <v>83542.40861</v>
      </c>
      <c r="BC5" s="54">
        <f t="array" ref="BC5">IF(BC$2=1,Assumptions!$P5/12,(SUMIF($D$2:$EE$2,BC$2-1,$D5:$EE5)/12)*(1+XLOOKUP(BC$2,Assumptions!$C$94:$M$94,Assumptions!$C$97:$M$97)))</f>
        <v>83542.40861</v>
      </c>
      <c r="BD5" s="54">
        <f t="array" ref="BD5">IF(BD$2=1,Assumptions!$P5/12,(SUMIF($D$2:$EE$2,BD$2-1,$D5:$EE5)/12)*(1+XLOOKUP(BD$2,Assumptions!$C$94:$M$94,Assumptions!$C$97:$M$97)))</f>
        <v>83542.40861</v>
      </c>
      <c r="BE5" s="54">
        <f t="array" ref="BE5">IF(BE$2=1,Assumptions!$P5/12,(SUMIF($D$2:$EE$2,BE$2-1,$D5:$EE5)/12)*(1+XLOOKUP(BE$2,Assumptions!$C$94:$M$94,Assumptions!$C$97:$M$97)))</f>
        <v>83542.40861</v>
      </c>
      <c r="BF5" s="54">
        <f t="array" ref="BF5">IF(BF$2=1,Assumptions!$P5/12,(SUMIF($D$2:$EE$2,BF$2-1,$D5:$EE5)/12)*(1+XLOOKUP(BF$2,Assumptions!$C$94:$M$94,Assumptions!$C$97:$M$97)))</f>
        <v>83542.40861</v>
      </c>
      <c r="BG5" s="54">
        <f t="array" ref="BG5">IF(BG$2=1,Assumptions!$P5/12,(SUMIF($D$2:$EE$2,BG$2-1,$D5:$EE5)/12)*(1+XLOOKUP(BG$2,Assumptions!$C$94:$M$94,Assumptions!$C$97:$M$97)))</f>
        <v>83542.40861</v>
      </c>
      <c r="BH5" s="54">
        <f t="array" ref="BH5">IF(BH$2=1,Assumptions!$P5/12,(SUMIF($D$2:$EE$2,BH$2-1,$D5:$EE5)/12)*(1+XLOOKUP(BH$2,Assumptions!$C$94:$M$94,Assumptions!$C$97:$M$97)))</f>
        <v>83542.40861</v>
      </c>
      <c r="BI5" s="54">
        <f t="array" ref="BI5">IF(BI$2=1,Assumptions!$P5/12,(SUMIF($D$2:$EE$2,BI$2-1,$D5:$EE5)/12)*(1+XLOOKUP(BI$2,Assumptions!$C$94:$M$94,Assumptions!$C$97:$M$97)))</f>
        <v>83542.40861</v>
      </c>
      <c r="BJ5" s="54">
        <f t="array" ref="BJ5">IF(BJ$2=1,Assumptions!$P5/12,(SUMIF($D$2:$EE$2,BJ$2-1,$D5:$EE5)/12)*(1+XLOOKUP(BJ$2,Assumptions!$C$94:$M$94,Assumptions!$C$97:$M$97)))</f>
        <v>83542.40861</v>
      </c>
      <c r="BK5" s="54">
        <f t="array" ref="BK5">IF(BK$2=1,Assumptions!$P5/12,(SUMIF($D$2:$EE$2,BK$2-1,$D5:$EE5)/12)*(1+XLOOKUP(BK$2,Assumptions!$C$94:$M$94,Assumptions!$C$97:$M$97)))</f>
        <v>83542.40861</v>
      </c>
      <c r="BL5" s="54">
        <f t="array" ref="BL5">IF(BL$2=1,Assumptions!$P5/12,(SUMIF($D$2:$EE$2,BL$2-1,$D5:$EE5)/12)*(1+XLOOKUP(BL$2,Assumptions!$C$94:$M$94,Assumptions!$C$97:$M$97)))</f>
        <v>86048.68087</v>
      </c>
      <c r="BM5" s="54">
        <f t="array" ref="BM5">IF(BM$2=1,Assumptions!$P5/12,(SUMIF($D$2:$EE$2,BM$2-1,$D5:$EE5)/12)*(1+XLOOKUP(BM$2,Assumptions!$C$94:$M$94,Assumptions!$C$97:$M$97)))</f>
        <v>86048.68087</v>
      </c>
      <c r="BN5" s="54">
        <f t="array" ref="BN5">IF(BN$2=1,Assumptions!$P5/12,(SUMIF($D$2:$EE$2,BN$2-1,$D5:$EE5)/12)*(1+XLOOKUP(BN$2,Assumptions!$C$94:$M$94,Assumptions!$C$97:$M$97)))</f>
        <v>86048.68087</v>
      </c>
      <c r="BO5" s="54">
        <f t="array" ref="BO5">IF(BO$2=1,Assumptions!$P5/12,(SUMIF($D$2:$EE$2,BO$2-1,$D5:$EE5)/12)*(1+XLOOKUP(BO$2,Assumptions!$C$94:$M$94,Assumptions!$C$97:$M$97)))</f>
        <v>86048.68087</v>
      </c>
      <c r="BP5" s="54">
        <f t="array" ref="BP5">IF(BP$2=1,Assumptions!$P5/12,(SUMIF($D$2:$EE$2,BP$2-1,$D5:$EE5)/12)*(1+XLOOKUP(BP$2,Assumptions!$C$94:$M$94,Assumptions!$C$97:$M$97)))</f>
        <v>86048.68087</v>
      </c>
      <c r="BQ5" s="54">
        <f t="array" ref="BQ5">IF(BQ$2=1,Assumptions!$P5/12,(SUMIF($D$2:$EE$2,BQ$2-1,$D5:$EE5)/12)*(1+XLOOKUP(BQ$2,Assumptions!$C$94:$M$94,Assumptions!$C$97:$M$97)))</f>
        <v>86048.68087</v>
      </c>
      <c r="BR5" s="54">
        <f t="array" ref="BR5">IF(BR$2=1,Assumptions!$P5/12,(SUMIF($D$2:$EE$2,BR$2-1,$D5:$EE5)/12)*(1+XLOOKUP(BR$2,Assumptions!$C$94:$M$94,Assumptions!$C$97:$M$97)))</f>
        <v>86048.68087</v>
      </c>
      <c r="BS5" s="54">
        <f t="array" ref="BS5">IF(BS$2=1,Assumptions!$P5/12,(SUMIF($D$2:$EE$2,BS$2-1,$D5:$EE5)/12)*(1+XLOOKUP(BS$2,Assumptions!$C$94:$M$94,Assumptions!$C$97:$M$97)))</f>
        <v>86048.68087</v>
      </c>
      <c r="BT5" s="54">
        <f t="array" ref="BT5">IF(BT$2=1,Assumptions!$P5/12,(SUMIF($D$2:$EE$2,BT$2-1,$D5:$EE5)/12)*(1+XLOOKUP(BT$2,Assumptions!$C$94:$M$94,Assumptions!$C$97:$M$97)))</f>
        <v>86048.68087</v>
      </c>
      <c r="BU5" s="54">
        <f t="array" ref="BU5">IF(BU$2=1,Assumptions!$P5/12,(SUMIF($D$2:$EE$2,BU$2-1,$D5:$EE5)/12)*(1+XLOOKUP(BU$2,Assumptions!$C$94:$M$94,Assumptions!$C$97:$M$97)))</f>
        <v>86048.68087</v>
      </c>
      <c r="BV5" s="54">
        <f t="array" ref="BV5">IF(BV$2=1,Assumptions!$P5/12,(SUMIF($D$2:$EE$2,BV$2-1,$D5:$EE5)/12)*(1+XLOOKUP(BV$2,Assumptions!$C$94:$M$94,Assumptions!$C$97:$M$97)))</f>
        <v>86048.68087</v>
      </c>
      <c r="BW5" s="54">
        <f t="array" ref="BW5">IF(BW$2=1,Assumptions!$P5/12,(SUMIF($D$2:$EE$2,BW$2-1,$D5:$EE5)/12)*(1+XLOOKUP(BW$2,Assumptions!$C$94:$M$94,Assumptions!$C$97:$M$97)))</f>
        <v>86048.68087</v>
      </c>
      <c r="BX5" s="54">
        <f t="array" ref="BX5">IF(BX$2=1,Assumptions!$P5/12,(SUMIF($D$2:$EE$2,BX$2-1,$D5:$EE5)/12)*(1+XLOOKUP(BX$2,Assumptions!$C$94:$M$94,Assumptions!$C$97:$M$97)))</f>
        <v>88630.14129</v>
      </c>
      <c r="BY5" s="54">
        <f t="array" ref="BY5">IF(BY$2=1,Assumptions!$P5/12,(SUMIF($D$2:$EE$2,BY$2-1,$D5:$EE5)/12)*(1+XLOOKUP(BY$2,Assumptions!$C$94:$M$94,Assumptions!$C$97:$M$97)))</f>
        <v>88630.14129</v>
      </c>
      <c r="BZ5" s="54">
        <f t="array" ref="BZ5">IF(BZ$2=1,Assumptions!$P5/12,(SUMIF($D$2:$EE$2,BZ$2-1,$D5:$EE5)/12)*(1+XLOOKUP(BZ$2,Assumptions!$C$94:$M$94,Assumptions!$C$97:$M$97)))</f>
        <v>88630.14129</v>
      </c>
      <c r="CA5" s="54">
        <f t="array" ref="CA5">IF(CA$2=1,Assumptions!$P5/12,(SUMIF($D$2:$EE$2,CA$2-1,$D5:$EE5)/12)*(1+XLOOKUP(CA$2,Assumptions!$C$94:$M$94,Assumptions!$C$97:$M$97)))</f>
        <v>88630.14129</v>
      </c>
      <c r="CB5" s="54">
        <f t="array" ref="CB5">IF(CB$2=1,Assumptions!$P5/12,(SUMIF($D$2:$EE$2,CB$2-1,$D5:$EE5)/12)*(1+XLOOKUP(CB$2,Assumptions!$C$94:$M$94,Assumptions!$C$97:$M$97)))</f>
        <v>88630.14129</v>
      </c>
      <c r="CC5" s="54">
        <f t="array" ref="CC5">IF(CC$2=1,Assumptions!$P5/12,(SUMIF($D$2:$EE$2,CC$2-1,$D5:$EE5)/12)*(1+XLOOKUP(CC$2,Assumptions!$C$94:$M$94,Assumptions!$C$97:$M$97)))</f>
        <v>88630.14129</v>
      </c>
      <c r="CD5" s="54">
        <f t="array" ref="CD5">IF(CD$2=1,Assumptions!$P5/12,(SUMIF($D$2:$EE$2,CD$2-1,$D5:$EE5)/12)*(1+XLOOKUP(CD$2,Assumptions!$C$94:$M$94,Assumptions!$C$97:$M$97)))</f>
        <v>88630.14129</v>
      </c>
      <c r="CE5" s="54">
        <f t="array" ref="CE5">IF(CE$2=1,Assumptions!$P5/12,(SUMIF($D$2:$EE$2,CE$2-1,$D5:$EE5)/12)*(1+XLOOKUP(CE$2,Assumptions!$C$94:$M$94,Assumptions!$C$97:$M$97)))</f>
        <v>88630.14129</v>
      </c>
      <c r="CF5" s="54">
        <f t="array" ref="CF5">IF(CF$2=1,Assumptions!$P5/12,(SUMIF($D$2:$EE$2,CF$2-1,$D5:$EE5)/12)*(1+XLOOKUP(CF$2,Assumptions!$C$94:$M$94,Assumptions!$C$97:$M$97)))</f>
        <v>88630.14129</v>
      </c>
      <c r="CG5" s="54">
        <f t="array" ref="CG5">IF(CG$2=1,Assumptions!$P5/12,(SUMIF($D$2:$EE$2,CG$2-1,$D5:$EE5)/12)*(1+XLOOKUP(CG$2,Assumptions!$C$94:$M$94,Assumptions!$C$97:$M$97)))</f>
        <v>88630.14129</v>
      </c>
      <c r="CH5" s="54">
        <f t="array" ref="CH5">IF(CH$2=1,Assumptions!$P5/12,(SUMIF($D$2:$EE$2,CH$2-1,$D5:$EE5)/12)*(1+XLOOKUP(CH$2,Assumptions!$C$94:$M$94,Assumptions!$C$97:$M$97)))</f>
        <v>88630.14129</v>
      </c>
      <c r="CI5" s="54">
        <f t="array" ref="CI5">IF(CI$2=1,Assumptions!$P5/12,(SUMIF($D$2:$EE$2,CI$2-1,$D5:$EE5)/12)*(1+XLOOKUP(CI$2,Assumptions!$C$94:$M$94,Assumptions!$C$97:$M$97)))</f>
        <v>88630.14129</v>
      </c>
      <c r="CJ5" s="54">
        <f t="array" ref="CJ5">IF(CJ$2=1,Assumptions!$P5/12,(SUMIF($D$2:$EE$2,CJ$2-1,$D5:$EE5)/12)*(1+XLOOKUP(CJ$2,Assumptions!$C$94:$M$94,Assumptions!$C$97:$M$97)))</f>
        <v>91289.04553</v>
      </c>
      <c r="CK5" s="54">
        <f t="array" ref="CK5">IF(CK$2=1,Assumptions!$P5/12,(SUMIF($D$2:$EE$2,CK$2-1,$D5:$EE5)/12)*(1+XLOOKUP(CK$2,Assumptions!$C$94:$M$94,Assumptions!$C$97:$M$97)))</f>
        <v>91289.04553</v>
      </c>
      <c r="CL5" s="54">
        <f t="array" ref="CL5">IF(CL$2=1,Assumptions!$P5/12,(SUMIF($D$2:$EE$2,CL$2-1,$D5:$EE5)/12)*(1+XLOOKUP(CL$2,Assumptions!$C$94:$M$94,Assumptions!$C$97:$M$97)))</f>
        <v>91289.04553</v>
      </c>
      <c r="CM5" s="54">
        <f t="array" ref="CM5">IF(CM$2=1,Assumptions!$P5/12,(SUMIF($D$2:$EE$2,CM$2-1,$D5:$EE5)/12)*(1+XLOOKUP(CM$2,Assumptions!$C$94:$M$94,Assumptions!$C$97:$M$97)))</f>
        <v>91289.04553</v>
      </c>
      <c r="CN5" s="54">
        <f t="array" ref="CN5">IF(CN$2=1,Assumptions!$P5/12,(SUMIF($D$2:$EE$2,CN$2-1,$D5:$EE5)/12)*(1+XLOOKUP(CN$2,Assumptions!$C$94:$M$94,Assumptions!$C$97:$M$97)))</f>
        <v>91289.04553</v>
      </c>
      <c r="CO5" s="54">
        <f t="array" ref="CO5">IF(CO$2=1,Assumptions!$P5/12,(SUMIF($D$2:$EE$2,CO$2-1,$D5:$EE5)/12)*(1+XLOOKUP(CO$2,Assumptions!$C$94:$M$94,Assumptions!$C$97:$M$97)))</f>
        <v>91289.04553</v>
      </c>
      <c r="CP5" s="54">
        <f t="array" ref="CP5">IF(CP$2=1,Assumptions!$P5/12,(SUMIF($D$2:$EE$2,CP$2-1,$D5:$EE5)/12)*(1+XLOOKUP(CP$2,Assumptions!$C$94:$M$94,Assumptions!$C$97:$M$97)))</f>
        <v>91289.04553</v>
      </c>
      <c r="CQ5" s="54">
        <f t="array" ref="CQ5">IF(CQ$2=1,Assumptions!$P5/12,(SUMIF($D$2:$EE$2,CQ$2-1,$D5:$EE5)/12)*(1+XLOOKUP(CQ$2,Assumptions!$C$94:$M$94,Assumptions!$C$97:$M$97)))</f>
        <v>91289.04553</v>
      </c>
      <c r="CR5" s="54">
        <f t="array" ref="CR5">IF(CR$2=1,Assumptions!$P5/12,(SUMIF($D$2:$EE$2,CR$2-1,$D5:$EE5)/12)*(1+XLOOKUP(CR$2,Assumptions!$C$94:$M$94,Assumptions!$C$97:$M$97)))</f>
        <v>91289.04553</v>
      </c>
      <c r="CS5" s="54">
        <f t="array" ref="CS5">IF(CS$2=1,Assumptions!$P5/12,(SUMIF($D$2:$EE$2,CS$2-1,$D5:$EE5)/12)*(1+XLOOKUP(CS$2,Assumptions!$C$94:$M$94,Assumptions!$C$97:$M$97)))</f>
        <v>91289.04553</v>
      </c>
      <c r="CT5" s="54">
        <f t="array" ref="CT5">IF(CT$2=1,Assumptions!$P5/12,(SUMIF($D$2:$EE$2,CT$2-1,$D5:$EE5)/12)*(1+XLOOKUP(CT$2,Assumptions!$C$94:$M$94,Assumptions!$C$97:$M$97)))</f>
        <v>91289.04553</v>
      </c>
      <c r="CU5" s="54">
        <f t="array" ref="CU5">IF(CU$2=1,Assumptions!$P5/12,(SUMIF($D$2:$EE$2,CU$2-1,$D5:$EE5)/12)*(1+XLOOKUP(CU$2,Assumptions!$C$94:$M$94,Assumptions!$C$97:$M$97)))</f>
        <v>91289.04553</v>
      </c>
      <c r="CV5" s="54">
        <f t="array" ref="CV5">IF(CV$2=1,Assumptions!$P5/12,(SUMIF($D$2:$EE$2,CV$2-1,$D5:$EE5)/12)*(1+XLOOKUP(CV$2,Assumptions!$C$94:$M$94,Assumptions!$C$97:$M$97)))</f>
        <v>94027.7169</v>
      </c>
      <c r="CW5" s="54">
        <f t="array" ref="CW5">IF(CW$2=1,Assumptions!$P5/12,(SUMIF($D$2:$EE$2,CW$2-1,$D5:$EE5)/12)*(1+XLOOKUP(CW$2,Assumptions!$C$94:$M$94,Assumptions!$C$97:$M$97)))</f>
        <v>94027.7169</v>
      </c>
      <c r="CX5" s="54">
        <f t="array" ref="CX5">IF(CX$2=1,Assumptions!$P5/12,(SUMIF($D$2:$EE$2,CX$2-1,$D5:$EE5)/12)*(1+XLOOKUP(CX$2,Assumptions!$C$94:$M$94,Assumptions!$C$97:$M$97)))</f>
        <v>94027.7169</v>
      </c>
      <c r="CY5" s="54">
        <f t="array" ref="CY5">IF(CY$2=1,Assumptions!$P5/12,(SUMIF($D$2:$EE$2,CY$2-1,$D5:$EE5)/12)*(1+XLOOKUP(CY$2,Assumptions!$C$94:$M$94,Assumptions!$C$97:$M$97)))</f>
        <v>94027.7169</v>
      </c>
      <c r="CZ5" s="54">
        <f t="array" ref="CZ5">IF(CZ$2=1,Assumptions!$P5/12,(SUMIF($D$2:$EE$2,CZ$2-1,$D5:$EE5)/12)*(1+XLOOKUP(CZ$2,Assumptions!$C$94:$M$94,Assumptions!$C$97:$M$97)))</f>
        <v>94027.7169</v>
      </c>
      <c r="DA5" s="54">
        <f t="array" ref="DA5">IF(DA$2=1,Assumptions!$P5/12,(SUMIF($D$2:$EE$2,DA$2-1,$D5:$EE5)/12)*(1+XLOOKUP(DA$2,Assumptions!$C$94:$M$94,Assumptions!$C$97:$M$97)))</f>
        <v>94027.7169</v>
      </c>
      <c r="DB5" s="54">
        <f t="array" ref="DB5">IF(DB$2=1,Assumptions!$P5/12,(SUMIF($D$2:$EE$2,DB$2-1,$D5:$EE5)/12)*(1+XLOOKUP(DB$2,Assumptions!$C$94:$M$94,Assumptions!$C$97:$M$97)))</f>
        <v>94027.7169</v>
      </c>
      <c r="DC5" s="54">
        <f t="array" ref="DC5">IF(DC$2=1,Assumptions!$P5/12,(SUMIF($D$2:$EE$2,DC$2-1,$D5:$EE5)/12)*(1+XLOOKUP(DC$2,Assumptions!$C$94:$M$94,Assumptions!$C$97:$M$97)))</f>
        <v>94027.7169</v>
      </c>
      <c r="DD5" s="54">
        <f t="array" ref="DD5">IF(DD$2=1,Assumptions!$P5/12,(SUMIF($D$2:$EE$2,DD$2-1,$D5:$EE5)/12)*(1+XLOOKUP(DD$2,Assumptions!$C$94:$M$94,Assumptions!$C$97:$M$97)))</f>
        <v>94027.7169</v>
      </c>
      <c r="DE5" s="54">
        <f t="array" ref="DE5">IF(DE$2=1,Assumptions!$P5/12,(SUMIF($D$2:$EE$2,DE$2-1,$D5:$EE5)/12)*(1+XLOOKUP(DE$2,Assumptions!$C$94:$M$94,Assumptions!$C$97:$M$97)))</f>
        <v>94027.7169</v>
      </c>
      <c r="DF5" s="54">
        <f t="array" ref="DF5">IF(DF$2=1,Assumptions!$P5/12,(SUMIF($D$2:$EE$2,DF$2-1,$D5:$EE5)/12)*(1+XLOOKUP(DF$2,Assumptions!$C$94:$M$94,Assumptions!$C$97:$M$97)))</f>
        <v>94027.7169</v>
      </c>
      <c r="DG5" s="54">
        <f t="array" ref="DG5">IF(DG$2=1,Assumptions!$P5/12,(SUMIF($D$2:$EE$2,DG$2-1,$D5:$EE5)/12)*(1+XLOOKUP(DG$2,Assumptions!$C$94:$M$94,Assumptions!$C$97:$M$97)))</f>
        <v>94027.7169</v>
      </c>
      <c r="DH5" s="54">
        <f t="array" ref="DH5">IF(DH$2=1,Assumptions!$P5/12,(SUMIF($D$2:$EE$2,DH$2-1,$D5:$EE5)/12)*(1+XLOOKUP(DH$2,Assumptions!$C$94:$M$94,Assumptions!$C$97:$M$97)))</f>
        <v>96848.5484</v>
      </c>
      <c r="DI5" s="54">
        <f t="array" ref="DI5">IF(DI$2=1,Assumptions!$P5/12,(SUMIF($D$2:$EE$2,DI$2-1,$D5:$EE5)/12)*(1+XLOOKUP(DI$2,Assumptions!$C$94:$M$94,Assumptions!$C$97:$M$97)))</f>
        <v>96848.5484</v>
      </c>
      <c r="DJ5" s="54">
        <f t="array" ref="DJ5">IF(DJ$2=1,Assumptions!$P5/12,(SUMIF($D$2:$EE$2,DJ$2-1,$D5:$EE5)/12)*(1+XLOOKUP(DJ$2,Assumptions!$C$94:$M$94,Assumptions!$C$97:$M$97)))</f>
        <v>96848.5484</v>
      </c>
      <c r="DK5" s="54">
        <f t="array" ref="DK5">IF(DK$2=1,Assumptions!$P5/12,(SUMIF($D$2:$EE$2,DK$2-1,$D5:$EE5)/12)*(1+XLOOKUP(DK$2,Assumptions!$C$94:$M$94,Assumptions!$C$97:$M$97)))</f>
        <v>96848.5484</v>
      </c>
      <c r="DL5" s="54">
        <f t="array" ref="DL5">IF(DL$2=1,Assumptions!$P5/12,(SUMIF($D$2:$EE$2,DL$2-1,$D5:$EE5)/12)*(1+XLOOKUP(DL$2,Assumptions!$C$94:$M$94,Assumptions!$C$97:$M$97)))</f>
        <v>96848.5484</v>
      </c>
      <c r="DM5" s="54">
        <f t="array" ref="DM5">IF(DM$2=1,Assumptions!$P5/12,(SUMIF($D$2:$EE$2,DM$2-1,$D5:$EE5)/12)*(1+XLOOKUP(DM$2,Assumptions!$C$94:$M$94,Assumptions!$C$97:$M$97)))</f>
        <v>96848.5484</v>
      </c>
      <c r="DN5" s="54">
        <f t="array" ref="DN5">IF(DN$2=1,Assumptions!$P5/12,(SUMIF($D$2:$EE$2,DN$2-1,$D5:$EE5)/12)*(1+XLOOKUP(DN$2,Assumptions!$C$94:$M$94,Assumptions!$C$97:$M$97)))</f>
        <v>96848.5484</v>
      </c>
      <c r="DO5" s="54">
        <f t="array" ref="DO5">IF(DO$2=1,Assumptions!$P5/12,(SUMIF($D$2:$EE$2,DO$2-1,$D5:$EE5)/12)*(1+XLOOKUP(DO$2,Assumptions!$C$94:$M$94,Assumptions!$C$97:$M$97)))</f>
        <v>96848.5484</v>
      </c>
      <c r="DP5" s="54">
        <f t="array" ref="DP5">IF(DP$2=1,Assumptions!$P5/12,(SUMIF($D$2:$EE$2,DP$2-1,$D5:$EE5)/12)*(1+XLOOKUP(DP$2,Assumptions!$C$94:$M$94,Assumptions!$C$97:$M$97)))</f>
        <v>96848.5484</v>
      </c>
      <c r="DQ5" s="54">
        <f t="array" ref="DQ5">IF(DQ$2=1,Assumptions!$P5/12,(SUMIF($D$2:$EE$2,DQ$2-1,$D5:$EE5)/12)*(1+XLOOKUP(DQ$2,Assumptions!$C$94:$M$94,Assumptions!$C$97:$M$97)))</f>
        <v>96848.5484</v>
      </c>
      <c r="DR5" s="54">
        <f t="array" ref="DR5">IF(DR$2=1,Assumptions!$P5/12,(SUMIF($D$2:$EE$2,DR$2-1,$D5:$EE5)/12)*(1+XLOOKUP(DR$2,Assumptions!$C$94:$M$94,Assumptions!$C$97:$M$97)))</f>
        <v>96848.5484</v>
      </c>
      <c r="DS5" s="54">
        <f t="array" ref="DS5">IF(DS$2=1,Assumptions!$P5/12,(SUMIF($D$2:$EE$2,DS$2-1,$D5:$EE5)/12)*(1+XLOOKUP(DS$2,Assumptions!$C$94:$M$94,Assumptions!$C$97:$M$97)))</f>
        <v>96848.5484</v>
      </c>
      <c r="DT5" s="54">
        <f t="array" ref="DT5">IF(DT$2=1,Assumptions!$P5/12,(SUMIF($D$2:$EE$2,DT$2-1,$D5:$EE5)/12)*(1+XLOOKUP(DT$2,Assumptions!$C$94:$M$94,Assumptions!$C$97:$M$97)))</f>
        <v>99754.00486</v>
      </c>
      <c r="DU5" s="54">
        <f t="array" ref="DU5">IF(DU$2=1,Assumptions!$P5/12,(SUMIF($D$2:$EE$2,DU$2-1,$D5:$EE5)/12)*(1+XLOOKUP(DU$2,Assumptions!$C$94:$M$94,Assumptions!$C$97:$M$97)))</f>
        <v>99754.00486</v>
      </c>
      <c r="DV5" s="54">
        <f t="array" ref="DV5">IF(DV$2=1,Assumptions!$P5/12,(SUMIF($D$2:$EE$2,DV$2-1,$D5:$EE5)/12)*(1+XLOOKUP(DV$2,Assumptions!$C$94:$M$94,Assumptions!$C$97:$M$97)))</f>
        <v>99754.00486</v>
      </c>
      <c r="DW5" s="54">
        <f t="array" ref="DW5">IF(DW$2=1,Assumptions!$P5/12,(SUMIF($D$2:$EE$2,DW$2-1,$D5:$EE5)/12)*(1+XLOOKUP(DW$2,Assumptions!$C$94:$M$94,Assumptions!$C$97:$M$97)))</f>
        <v>99754.00486</v>
      </c>
      <c r="DX5" s="54">
        <f t="array" ref="DX5">IF(DX$2=1,Assumptions!$P5/12,(SUMIF($D$2:$EE$2,DX$2-1,$D5:$EE5)/12)*(1+XLOOKUP(DX$2,Assumptions!$C$94:$M$94,Assumptions!$C$97:$M$97)))</f>
        <v>99754.00486</v>
      </c>
      <c r="DY5" s="54">
        <f t="array" ref="DY5">IF(DY$2=1,Assumptions!$P5/12,(SUMIF($D$2:$EE$2,DY$2-1,$D5:$EE5)/12)*(1+XLOOKUP(DY$2,Assumptions!$C$94:$M$94,Assumptions!$C$97:$M$97)))</f>
        <v>99754.00486</v>
      </c>
      <c r="DZ5" s="54">
        <f t="array" ref="DZ5">IF(DZ$2=1,Assumptions!$P5/12,(SUMIF($D$2:$EE$2,DZ$2-1,$D5:$EE5)/12)*(1+XLOOKUP(DZ$2,Assumptions!$C$94:$M$94,Assumptions!$C$97:$M$97)))</f>
        <v>99754.00486</v>
      </c>
      <c r="EA5" s="54">
        <f t="array" ref="EA5">IF(EA$2=1,Assumptions!$P5/12,(SUMIF($D$2:$EE$2,EA$2-1,$D5:$EE5)/12)*(1+XLOOKUP(EA$2,Assumptions!$C$94:$M$94,Assumptions!$C$97:$M$97)))</f>
        <v>99754.00486</v>
      </c>
      <c r="EB5" s="54">
        <f t="array" ref="EB5">IF(EB$2=1,Assumptions!$P5/12,(SUMIF($D$2:$EE$2,EB$2-1,$D5:$EE5)/12)*(1+XLOOKUP(EB$2,Assumptions!$C$94:$M$94,Assumptions!$C$97:$M$97)))</f>
        <v>99754.00486</v>
      </c>
      <c r="EC5" s="54">
        <f t="array" ref="EC5">IF(EC$2=1,Assumptions!$P5/12,(SUMIF($D$2:$EE$2,EC$2-1,$D5:$EE5)/12)*(1+XLOOKUP(EC$2,Assumptions!$C$94:$M$94,Assumptions!$C$97:$M$97)))</f>
        <v>99754.00486</v>
      </c>
      <c r="ED5" s="54">
        <f t="array" ref="ED5">IF(ED$2=1,Assumptions!$P5/12,(SUMIF($D$2:$EE$2,ED$2-1,$D5:$EE5)/12)*(1+XLOOKUP(ED$2,Assumptions!$C$94:$M$94,Assumptions!$C$97:$M$97)))</f>
        <v>99754.00486</v>
      </c>
      <c r="EE5" s="54">
        <f t="array" ref="EE5">IF(EE$2=1,Assumptions!$P5/12,(SUMIF($D$2:$EE$2,EE$2-1,$D5:$EE5)/12)*(1+XLOOKUP(EE$2,Assumptions!$C$94:$M$94,Assumptions!$C$97:$M$97)))</f>
        <v>99754.00486</v>
      </c>
    </row>
    <row r="6" ht="15.75" customHeight="1">
      <c r="A6" s="1"/>
      <c r="B6" s="1"/>
      <c r="C6" s="1" t="str">
        <f>Assumptions!J6</f>
        <v>3x2</v>
      </c>
      <c r="D6" s="54">
        <f t="array" ref="D6">IF(D$2=1,Assumptions!$P6/12,(SUMIF($D$2:$EE$2,D$2-1,$D6:$EE6)/12)*(1+XLOOKUP(D$2,Assumptions!$C$94:$M$94,Assumptions!$C$97:$M$97)))</f>
        <v>22355.928</v>
      </c>
      <c r="E6" s="54">
        <f t="array" ref="E6">IF(E$2=1,Assumptions!$P6/12,(SUMIF($D$2:$EE$2,E$2-1,$D6:$EE6)/12)*(1+XLOOKUP(E$2,Assumptions!$C$94:$M$94,Assumptions!$C$97:$M$97)))</f>
        <v>22355.928</v>
      </c>
      <c r="F6" s="54">
        <f t="array" ref="F6">IF(F$2=1,Assumptions!$P6/12,(SUMIF($D$2:$EE$2,F$2-1,$D6:$EE6)/12)*(1+XLOOKUP(F$2,Assumptions!$C$94:$M$94,Assumptions!$C$97:$M$97)))</f>
        <v>22355.928</v>
      </c>
      <c r="G6" s="54">
        <f t="array" ref="G6">IF(G$2=1,Assumptions!$P6/12,(SUMIF($D$2:$EE$2,G$2-1,$D6:$EE6)/12)*(1+XLOOKUP(G$2,Assumptions!$C$94:$M$94,Assumptions!$C$97:$M$97)))</f>
        <v>22355.928</v>
      </c>
      <c r="H6" s="54">
        <f t="array" ref="H6">IF(H$2=1,Assumptions!$P6/12,(SUMIF($D$2:$EE$2,H$2-1,$D6:$EE6)/12)*(1+XLOOKUP(H$2,Assumptions!$C$94:$M$94,Assumptions!$C$97:$M$97)))</f>
        <v>22355.928</v>
      </c>
      <c r="I6" s="54">
        <f t="array" ref="I6">IF(I$2=1,Assumptions!$P6/12,(SUMIF($D$2:$EE$2,I$2-1,$D6:$EE6)/12)*(1+XLOOKUP(I$2,Assumptions!$C$94:$M$94,Assumptions!$C$97:$M$97)))</f>
        <v>22355.928</v>
      </c>
      <c r="J6" s="54">
        <f t="array" ref="J6">IF(J$2=1,Assumptions!$P6/12,(SUMIF($D$2:$EE$2,J$2-1,$D6:$EE6)/12)*(1+XLOOKUP(J$2,Assumptions!$C$94:$M$94,Assumptions!$C$97:$M$97)))</f>
        <v>22355.928</v>
      </c>
      <c r="K6" s="54">
        <f t="array" ref="K6">IF(K$2=1,Assumptions!$P6/12,(SUMIF($D$2:$EE$2,K$2-1,$D6:$EE6)/12)*(1+XLOOKUP(K$2,Assumptions!$C$94:$M$94,Assumptions!$C$97:$M$97)))</f>
        <v>22355.928</v>
      </c>
      <c r="L6" s="54">
        <f t="array" ref="L6">IF(L$2=1,Assumptions!$P6/12,(SUMIF($D$2:$EE$2,L$2-1,$D6:$EE6)/12)*(1+XLOOKUP(L$2,Assumptions!$C$94:$M$94,Assumptions!$C$97:$M$97)))</f>
        <v>22355.928</v>
      </c>
      <c r="M6" s="54">
        <f t="array" ref="M6">IF(M$2=1,Assumptions!$P6/12,(SUMIF($D$2:$EE$2,M$2-1,$D6:$EE6)/12)*(1+XLOOKUP(M$2,Assumptions!$C$94:$M$94,Assumptions!$C$97:$M$97)))</f>
        <v>22355.928</v>
      </c>
      <c r="N6" s="54">
        <f t="array" ref="N6">IF(N$2=1,Assumptions!$P6/12,(SUMIF($D$2:$EE$2,N$2-1,$D6:$EE6)/12)*(1+XLOOKUP(N$2,Assumptions!$C$94:$M$94,Assumptions!$C$97:$M$97)))</f>
        <v>22355.928</v>
      </c>
      <c r="O6" s="54">
        <f t="array" ref="O6">IF(O$2=1,Assumptions!$P6/12,(SUMIF($D$2:$EE$2,O$2-1,$D6:$EE6)/12)*(1+XLOOKUP(O$2,Assumptions!$C$94:$M$94,Assumptions!$C$97:$M$97)))</f>
        <v>22355.928</v>
      </c>
      <c r="P6" s="54">
        <f t="array" ref="P6">IF(P$2=1,Assumptions!$P6/12,(SUMIF($D$2:$EE$2,P$2-1,$D6:$EE6)/12)*(1+XLOOKUP(P$2,Assumptions!$C$94:$M$94,Assumptions!$C$97:$M$97)))</f>
        <v>23026.60584</v>
      </c>
      <c r="Q6" s="54">
        <f t="array" ref="Q6">IF(Q$2=1,Assumptions!$P6/12,(SUMIF($D$2:$EE$2,Q$2-1,$D6:$EE6)/12)*(1+XLOOKUP(Q$2,Assumptions!$C$94:$M$94,Assumptions!$C$97:$M$97)))</f>
        <v>23026.60584</v>
      </c>
      <c r="R6" s="54">
        <f t="array" ref="R6">IF(R$2=1,Assumptions!$P6/12,(SUMIF($D$2:$EE$2,R$2-1,$D6:$EE6)/12)*(1+XLOOKUP(R$2,Assumptions!$C$94:$M$94,Assumptions!$C$97:$M$97)))</f>
        <v>23026.60584</v>
      </c>
      <c r="S6" s="54">
        <f t="array" ref="S6">IF(S$2=1,Assumptions!$P6/12,(SUMIF($D$2:$EE$2,S$2-1,$D6:$EE6)/12)*(1+XLOOKUP(S$2,Assumptions!$C$94:$M$94,Assumptions!$C$97:$M$97)))</f>
        <v>23026.60584</v>
      </c>
      <c r="T6" s="54">
        <f t="array" ref="T6">IF(T$2=1,Assumptions!$P6/12,(SUMIF($D$2:$EE$2,T$2-1,$D6:$EE6)/12)*(1+XLOOKUP(T$2,Assumptions!$C$94:$M$94,Assumptions!$C$97:$M$97)))</f>
        <v>23026.60584</v>
      </c>
      <c r="U6" s="54">
        <f t="array" ref="U6">IF(U$2=1,Assumptions!$P6/12,(SUMIF($D$2:$EE$2,U$2-1,$D6:$EE6)/12)*(1+XLOOKUP(U$2,Assumptions!$C$94:$M$94,Assumptions!$C$97:$M$97)))</f>
        <v>23026.60584</v>
      </c>
      <c r="V6" s="54">
        <f t="array" ref="V6">IF(V$2=1,Assumptions!$P6/12,(SUMIF($D$2:$EE$2,V$2-1,$D6:$EE6)/12)*(1+XLOOKUP(V$2,Assumptions!$C$94:$M$94,Assumptions!$C$97:$M$97)))</f>
        <v>23026.60584</v>
      </c>
      <c r="W6" s="54">
        <f t="array" ref="W6">IF(W$2=1,Assumptions!$P6/12,(SUMIF($D$2:$EE$2,W$2-1,$D6:$EE6)/12)*(1+XLOOKUP(W$2,Assumptions!$C$94:$M$94,Assumptions!$C$97:$M$97)))</f>
        <v>23026.60584</v>
      </c>
      <c r="X6" s="54">
        <f t="array" ref="X6">IF(X$2=1,Assumptions!$P6/12,(SUMIF($D$2:$EE$2,X$2-1,$D6:$EE6)/12)*(1+XLOOKUP(X$2,Assumptions!$C$94:$M$94,Assumptions!$C$97:$M$97)))</f>
        <v>23026.60584</v>
      </c>
      <c r="Y6" s="54">
        <f t="array" ref="Y6">IF(Y$2=1,Assumptions!$P6/12,(SUMIF($D$2:$EE$2,Y$2-1,$D6:$EE6)/12)*(1+XLOOKUP(Y$2,Assumptions!$C$94:$M$94,Assumptions!$C$97:$M$97)))</f>
        <v>23026.60584</v>
      </c>
      <c r="Z6" s="54">
        <f t="array" ref="Z6">IF(Z$2=1,Assumptions!$P6/12,(SUMIF($D$2:$EE$2,Z$2-1,$D6:$EE6)/12)*(1+XLOOKUP(Z$2,Assumptions!$C$94:$M$94,Assumptions!$C$97:$M$97)))</f>
        <v>23026.60584</v>
      </c>
      <c r="AA6" s="54">
        <f t="array" ref="AA6">IF(AA$2=1,Assumptions!$P6/12,(SUMIF($D$2:$EE$2,AA$2-1,$D6:$EE6)/12)*(1+XLOOKUP(AA$2,Assumptions!$C$94:$M$94,Assumptions!$C$97:$M$97)))</f>
        <v>23026.60584</v>
      </c>
      <c r="AB6" s="54">
        <f t="array" ref="AB6">IF(AB$2=1,Assumptions!$P6/12,(SUMIF($D$2:$EE$2,AB$2-1,$D6:$EE6)/12)*(1+XLOOKUP(AB$2,Assumptions!$C$94:$M$94,Assumptions!$C$97:$M$97)))</f>
        <v>23717.40402</v>
      </c>
      <c r="AC6" s="54">
        <f t="array" ref="AC6">IF(AC$2=1,Assumptions!$P6/12,(SUMIF($D$2:$EE$2,AC$2-1,$D6:$EE6)/12)*(1+XLOOKUP(AC$2,Assumptions!$C$94:$M$94,Assumptions!$C$97:$M$97)))</f>
        <v>23717.40402</v>
      </c>
      <c r="AD6" s="54">
        <f t="array" ref="AD6">IF(AD$2=1,Assumptions!$P6/12,(SUMIF($D$2:$EE$2,AD$2-1,$D6:$EE6)/12)*(1+XLOOKUP(AD$2,Assumptions!$C$94:$M$94,Assumptions!$C$97:$M$97)))</f>
        <v>23717.40402</v>
      </c>
      <c r="AE6" s="54">
        <f t="array" ref="AE6">IF(AE$2=1,Assumptions!$P6/12,(SUMIF($D$2:$EE$2,AE$2-1,$D6:$EE6)/12)*(1+XLOOKUP(AE$2,Assumptions!$C$94:$M$94,Assumptions!$C$97:$M$97)))</f>
        <v>23717.40402</v>
      </c>
      <c r="AF6" s="54">
        <f t="array" ref="AF6">IF(AF$2=1,Assumptions!$P6/12,(SUMIF($D$2:$EE$2,AF$2-1,$D6:$EE6)/12)*(1+XLOOKUP(AF$2,Assumptions!$C$94:$M$94,Assumptions!$C$97:$M$97)))</f>
        <v>23717.40402</v>
      </c>
      <c r="AG6" s="54">
        <f t="array" ref="AG6">IF(AG$2=1,Assumptions!$P6/12,(SUMIF($D$2:$EE$2,AG$2-1,$D6:$EE6)/12)*(1+XLOOKUP(AG$2,Assumptions!$C$94:$M$94,Assumptions!$C$97:$M$97)))</f>
        <v>23717.40402</v>
      </c>
      <c r="AH6" s="54">
        <f t="array" ref="AH6">IF(AH$2=1,Assumptions!$P6/12,(SUMIF($D$2:$EE$2,AH$2-1,$D6:$EE6)/12)*(1+XLOOKUP(AH$2,Assumptions!$C$94:$M$94,Assumptions!$C$97:$M$97)))</f>
        <v>23717.40402</v>
      </c>
      <c r="AI6" s="54">
        <f t="array" ref="AI6">IF(AI$2=1,Assumptions!$P6/12,(SUMIF($D$2:$EE$2,AI$2-1,$D6:$EE6)/12)*(1+XLOOKUP(AI$2,Assumptions!$C$94:$M$94,Assumptions!$C$97:$M$97)))</f>
        <v>23717.40402</v>
      </c>
      <c r="AJ6" s="54">
        <f t="array" ref="AJ6">IF(AJ$2=1,Assumptions!$P6/12,(SUMIF($D$2:$EE$2,AJ$2-1,$D6:$EE6)/12)*(1+XLOOKUP(AJ$2,Assumptions!$C$94:$M$94,Assumptions!$C$97:$M$97)))</f>
        <v>23717.40402</v>
      </c>
      <c r="AK6" s="54">
        <f t="array" ref="AK6">IF(AK$2=1,Assumptions!$P6/12,(SUMIF($D$2:$EE$2,AK$2-1,$D6:$EE6)/12)*(1+XLOOKUP(AK$2,Assumptions!$C$94:$M$94,Assumptions!$C$97:$M$97)))</f>
        <v>23717.40402</v>
      </c>
      <c r="AL6" s="54">
        <f t="array" ref="AL6">IF(AL$2=1,Assumptions!$P6/12,(SUMIF($D$2:$EE$2,AL$2-1,$D6:$EE6)/12)*(1+XLOOKUP(AL$2,Assumptions!$C$94:$M$94,Assumptions!$C$97:$M$97)))</f>
        <v>23717.40402</v>
      </c>
      <c r="AM6" s="54">
        <f t="array" ref="AM6">IF(AM$2=1,Assumptions!$P6/12,(SUMIF($D$2:$EE$2,AM$2-1,$D6:$EE6)/12)*(1+XLOOKUP(AM$2,Assumptions!$C$94:$M$94,Assumptions!$C$97:$M$97)))</f>
        <v>23717.40402</v>
      </c>
      <c r="AN6" s="54">
        <f t="array" ref="AN6">IF(AN$2=1,Assumptions!$P6/12,(SUMIF($D$2:$EE$2,AN$2-1,$D6:$EE6)/12)*(1+XLOOKUP(AN$2,Assumptions!$C$94:$M$94,Assumptions!$C$97:$M$97)))</f>
        <v>24428.92614</v>
      </c>
      <c r="AO6" s="54">
        <f t="array" ref="AO6">IF(AO$2=1,Assumptions!$P6/12,(SUMIF($D$2:$EE$2,AO$2-1,$D6:$EE6)/12)*(1+XLOOKUP(AO$2,Assumptions!$C$94:$M$94,Assumptions!$C$97:$M$97)))</f>
        <v>24428.92614</v>
      </c>
      <c r="AP6" s="54">
        <f t="array" ref="AP6">IF(AP$2=1,Assumptions!$P6/12,(SUMIF($D$2:$EE$2,AP$2-1,$D6:$EE6)/12)*(1+XLOOKUP(AP$2,Assumptions!$C$94:$M$94,Assumptions!$C$97:$M$97)))</f>
        <v>24428.92614</v>
      </c>
      <c r="AQ6" s="54">
        <f t="array" ref="AQ6">IF(AQ$2=1,Assumptions!$P6/12,(SUMIF($D$2:$EE$2,AQ$2-1,$D6:$EE6)/12)*(1+XLOOKUP(AQ$2,Assumptions!$C$94:$M$94,Assumptions!$C$97:$M$97)))</f>
        <v>24428.92614</v>
      </c>
      <c r="AR6" s="54">
        <f t="array" ref="AR6">IF(AR$2=1,Assumptions!$P6/12,(SUMIF($D$2:$EE$2,AR$2-1,$D6:$EE6)/12)*(1+XLOOKUP(AR$2,Assumptions!$C$94:$M$94,Assumptions!$C$97:$M$97)))</f>
        <v>24428.92614</v>
      </c>
      <c r="AS6" s="54">
        <f t="array" ref="AS6">IF(AS$2=1,Assumptions!$P6/12,(SUMIF($D$2:$EE$2,AS$2-1,$D6:$EE6)/12)*(1+XLOOKUP(AS$2,Assumptions!$C$94:$M$94,Assumptions!$C$97:$M$97)))</f>
        <v>24428.92614</v>
      </c>
      <c r="AT6" s="54">
        <f t="array" ref="AT6">IF(AT$2=1,Assumptions!$P6/12,(SUMIF($D$2:$EE$2,AT$2-1,$D6:$EE6)/12)*(1+XLOOKUP(AT$2,Assumptions!$C$94:$M$94,Assumptions!$C$97:$M$97)))</f>
        <v>24428.92614</v>
      </c>
      <c r="AU6" s="54">
        <f t="array" ref="AU6">IF(AU$2=1,Assumptions!$P6/12,(SUMIF($D$2:$EE$2,AU$2-1,$D6:$EE6)/12)*(1+XLOOKUP(AU$2,Assumptions!$C$94:$M$94,Assumptions!$C$97:$M$97)))</f>
        <v>24428.92614</v>
      </c>
      <c r="AV6" s="54">
        <f t="array" ref="AV6">IF(AV$2=1,Assumptions!$P6/12,(SUMIF($D$2:$EE$2,AV$2-1,$D6:$EE6)/12)*(1+XLOOKUP(AV$2,Assumptions!$C$94:$M$94,Assumptions!$C$97:$M$97)))</f>
        <v>24428.92614</v>
      </c>
      <c r="AW6" s="54">
        <f t="array" ref="AW6">IF(AW$2=1,Assumptions!$P6/12,(SUMIF($D$2:$EE$2,AW$2-1,$D6:$EE6)/12)*(1+XLOOKUP(AW$2,Assumptions!$C$94:$M$94,Assumptions!$C$97:$M$97)))</f>
        <v>24428.92614</v>
      </c>
      <c r="AX6" s="54">
        <f t="array" ref="AX6">IF(AX$2=1,Assumptions!$P6/12,(SUMIF($D$2:$EE$2,AX$2-1,$D6:$EE6)/12)*(1+XLOOKUP(AX$2,Assumptions!$C$94:$M$94,Assumptions!$C$97:$M$97)))</f>
        <v>24428.92614</v>
      </c>
      <c r="AY6" s="54">
        <f t="array" ref="AY6">IF(AY$2=1,Assumptions!$P6/12,(SUMIF($D$2:$EE$2,AY$2-1,$D6:$EE6)/12)*(1+XLOOKUP(AY$2,Assumptions!$C$94:$M$94,Assumptions!$C$97:$M$97)))</f>
        <v>24428.92614</v>
      </c>
      <c r="AZ6" s="54">
        <f t="array" ref="AZ6">IF(AZ$2=1,Assumptions!$P6/12,(SUMIF($D$2:$EE$2,AZ$2-1,$D6:$EE6)/12)*(1+XLOOKUP(AZ$2,Assumptions!$C$94:$M$94,Assumptions!$C$97:$M$97)))</f>
        <v>25161.79392</v>
      </c>
      <c r="BA6" s="54">
        <f t="array" ref="BA6">IF(BA$2=1,Assumptions!$P6/12,(SUMIF($D$2:$EE$2,BA$2-1,$D6:$EE6)/12)*(1+XLOOKUP(BA$2,Assumptions!$C$94:$M$94,Assumptions!$C$97:$M$97)))</f>
        <v>25161.79392</v>
      </c>
      <c r="BB6" s="54">
        <f t="array" ref="BB6">IF(BB$2=1,Assumptions!$P6/12,(SUMIF($D$2:$EE$2,BB$2-1,$D6:$EE6)/12)*(1+XLOOKUP(BB$2,Assumptions!$C$94:$M$94,Assumptions!$C$97:$M$97)))</f>
        <v>25161.79392</v>
      </c>
      <c r="BC6" s="54">
        <f t="array" ref="BC6">IF(BC$2=1,Assumptions!$P6/12,(SUMIF($D$2:$EE$2,BC$2-1,$D6:$EE6)/12)*(1+XLOOKUP(BC$2,Assumptions!$C$94:$M$94,Assumptions!$C$97:$M$97)))</f>
        <v>25161.79392</v>
      </c>
      <c r="BD6" s="54">
        <f t="array" ref="BD6">IF(BD$2=1,Assumptions!$P6/12,(SUMIF($D$2:$EE$2,BD$2-1,$D6:$EE6)/12)*(1+XLOOKUP(BD$2,Assumptions!$C$94:$M$94,Assumptions!$C$97:$M$97)))</f>
        <v>25161.79392</v>
      </c>
      <c r="BE6" s="54">
        <f t="array" ref="BE6">IF(BE$2=1,Assumptions!$P6/12,(SUMIF($D$2:$EE$2,BE$2-1,$D6:$EE6)/12)*(1+XLOOKUP(BE$2,Assumptions!$C$94:$M$94,Assumptions!$C$97:$M$97)))</f>
        <v>25161.79392</v>
      </c>
      <c r="BF6" s="54">
        <f t="array" ref="BF6">IF(BF$2=1,Assumptions!$P6/12,(SUMIF($D$2:$EE$2,BF$2-1,$D6:$EE6)/12)*(1+XLOOKUP(BF$2,Assumptions!$C$94:$M$94,Assumptions!$C$97:$M$97)))</f>
        <v>25161.79392</v>
      </c>
      <c r="BG6" s="54">
        <f t="array" ref="BG6">IF(BG$2=1,Assumptions!$P6/12,(SUMIF($D$2:$EE$2,BG$2-1,$D6:$EE6)/12)*(1+XLOOKUP(BG$2,Assumptions!$C$94:$M$94,Assumptions!$C$97:$M$97)))</f>
        <v>25161.79392</v>
      </c>
      <c r="BH6" s="54">
        <f t="array" ref="BH6">IF(BH$2=1,Assumptions!$P6/12,(SUMIF($D$2:$EE$2,BH$2-1,$D6:$EE6)/12)*(1+XLOOKUP(BH$2,Assumptions!$C$94:$M$94,Assumptions!$C$97:$M$97)))</f>
        <v>25161.79392</v>
      </c>
      <c r="BI6" s="54">
        <f t="array" ref="BI6">IF(BI$2=1,Assumptions!$P6/12,(SUMIF($D$2:$EE$2,BI$2-1,$D6:$EE6)/12)*(1+XLOOKUP(BI$2,Assumptions!$C$94:$M$94,Assumptions!$C$97:$M$97)))</f>
        <v>25161.79392</v>
      </c>
      <c r="BJ6" s="54">
        <f t="array" ref="BJ6">IF(BJ$2=1,Assumptions!$P6/12,(SUMIF($D$2:$EE$2,BJ$2-1,$D6:$EE6)/12)*(1+XLOOKUP(BJ$2,Assumptions!$C$94:$M$94,Assumptions!$C$97:$M$97)))</f>
        <v>25161.79392</v>
      </c>
      <c r="BK6" s="54">
        <f t="array" ref="BK6">IF(BK$2=1,Assumptions!$P6/12,(SUMIF($D$2:$EE$2,BK$2-1,$D6:$EE6)/12)*(1+XLOOKUP(BK$2,Assumptions!$C$94:$M$94,Assumptions!$C$97:$M$97)))</f>
        <v>25161.79392</v>
      </c>
      <c r="BL6" s="54">
        <f t="array" ref="BL6">IF(BL$2=1,Assumptions!$P6/12,(SUMIF($D$2:$EE$2,BL$2-1,$D6:$EE6)/12)*(1+XLOOKUP(BL$2,Assumptions!$C$94:$M$94,Assumptions!$C$97:$M$97)))</f>
        <v>25916.64774</v>
      </c>
      <c r="BM6" s="54">
        <f t="array" ref="BM6">IF(BM$2=1,Assumptions!$P6/12,(SUMIF($D$2:$EE$2,BM$2-1,$D6:$EE6)/12)*(1+XLOOKUP(BM$2,Assumptions!$C$94:$M$94,Assumptions!$C$97:$M$97)))</f>
        <v>25916.64774</v>
      </c>
      <c r="BN6" s="54">
        <f t="array" ref="BN6">IF(BN$2=1,Assumptions!$P6/12,(SUMIF($D$2:$EE$2,BN$2-1,$D6:$EE6)/12)*(1+XLOOKUP(BN$2,Assumptions!$C$94:$M$94,Assumptions!$C$97:$M$97)))</f>
        <v>25916.64774</v>
      </c>
      <c r="BO6" s="54">
        <f t="array" ref="BO6">IF(BO$2=1,Assumptions!$P6/12,(SUMIF($D$2:$EE$2,BO$2-1,$D6:$EE6)/12)*(1+XLOOKUP(BO$2,Assumptions!$C$94:$M$94,Assumptions!$C$97:$M$97)))</f>
        <v>25916.64774</v>
      </c>
      <c r="BP6" s="54">
        <f t="array" ref="BP6">IF(BP$2=1,Assumptions!$P6/12,(SUMIF($D$2:$EE$2,BP$2-1,$D6:$EE6)/12)*(1+XLOOKUP(BP$2,Assumptions!$C$94:$M$94,Assumptions!$C$97:$M$97)))</f>
        <v>25916.64774</v>
      </c>
      <c r="BQ6" s="54">
        <f t="array" ref="BQ6">IF(BQ$2=1,Assumptions!$P6/12,(SUMIF($D$2:$EE$2,BQ$2-1,$D6:$EE6)/12)*(1+XLOOKUP(BQ$2,Assumptions!$C$94:$M$94,Assumptions!$C$97:$M$97)))</f>
        <v>25916.64774</v>
      </c>
      <c r="BR6" s="54">
        <f t="array" ref="BR6">IF(BR$2=1,Assumptions!$P6/12,(SUMIF($D$2:$EE$2,BR$2-1,$D6:$EE6)/12)*(1+XLOOKUP(BR$2,Assumptions!$C$94:$M$94,Assumptions!$C$97:$M$97)))</f>
        <v>25916.64774</v>
      </c>
      <c r="BS6" s="54">
        <f t="array" ref="BS6">IF(BS$2=1,Assumptions!$P6/12,(SUMIF($D$2:$EE$2,BS$2-1,$D6:$EE6)/12)*(1+XLOOKUP(BS$2,Assumptions!$C$94:$M$94,Assumptions!$C$97:$M$97)))</f>
        <v>25916.64774</v>
      </c>
      <c r="BT6" s="54">
        <f t="array" ref="BT6">IF(BT$2=1,Assumptions!$P6/12,(SUMIF($D$2:$EE$2,BT$2-1,$D6:$EE6)/12)*(1+XLOOKUP(BT$2,Assumptions!$C$94:$M$94,Assumptions!$C$97:$M$97)))</f>
        <v>25916.64774</v>
      </c>
      <c r="BU6" s="54">
        <f t="array" ref="BU6">IF(BU$2=1,Assumptions!$P6/12,(SUMIF($D$2:$EE$2,BU$2-1,$D6:$EE6)/12)*(1+XLOOKUP(BU$2,Assumptions!$C$94:$M$94,Assumptions!$C$97:$M$97)))</f>
        <v>25916.64774</v>
      </c>
      <c r="BV6" s="54">
        <f t="array" ref="BV6">IF(BV$2=1,Assumptions!$P6/12,(SUMIF($D$2:$EE$2,BV$2-1,$D6:$EE6)/12)*(1+XLOOKUP(BV$2,Assumptions!$C$94:$M$94,Assumptions!$C$97:$M$97)))</f>
        <v>25916.64774</v>
      </c>
      <c r="BW6" s="54">
        <f t="array" ref="BW6">IF(BW$2=1,Assumptions!$P6/12,(SUMIF($D$2:$EE$2,BW$2-1,$D6:$EE6)/12)*(1+XLOOKUP(BW$2,Assumptions!$C$94:$M$94,Assumptions!$C$97:$M$97)))</f>
        <v>25916.64774</v>
      </c>
      <c r="BX6" s="54">
        <f t="array" ref="BX6">IF(BX$2=1,Assumptions!$P6/12,(SUMIF($D$2:$EE$2,BX$2-1,$D6:$EE6)/12)*(1+XLOOKUP(BX$2,Assumptions!$C$94:$M$94,Assumptions!$C$97:$M$97)))</f>
        <v>26694.14717</v>
      </c>
      <c r="BY6" s="54">
        <f t="array" ref="BY6">IF(BY$2=1,Assumptions!$P6/12,(SUMIF($D$2:$EE$2,BY$2-1,$D6:$EE6)/12)*(1+XLOOKUP(BY$2,Assumptions!$C$94:$M$94,Assumptions!$C$97:$M$97)))</f>
        <v>26694.14717</v>
      </c>
      <c r="BZ6" s="54">
        <f t="array" ref="BZ6">IF(BZ$2=1,Assumptions!$P6/12,(SUMIF($D$2:$EE$2,BZ$2-1,$D6:$EE6)/12)*(1+XLOOKUP(BZ$2,Assumptions!$C$94:$M$94,Assumptions!$C$97:$M$97)))</f>
        <v>26694.14717</v>
      </c>
      <c r="CA6" s="54">
        <f t="array" ref="CA6">IF(CA$2=1,Assumptions!$P6/12,(SUMIF($D$2:$EE$2,CA$2-1,$D6:$EE6)/12)*(1+XLOOKUP(CA$2,Assumptions!$C$94:$M$94,Assumptions!$C$97:$M$97)))</f>
        <v>26694.14717</v>
      </c>
      <c r="CB6" s="54">
        <f t="array" ref="CB6">IF(CB$2=1,Assumptions!$P6/12,(SUMIF($D$2:$EE$2,CB$2-1,$D6:$EE6)/12)*(1+XLOOKUP(CB$2,Assumptions!$C$94:$M$94,Assumptions!$C$97:$M$97)))</f>
        <v>26694.14717</v>
      </c>
      <c r="CC6" s="54">
        <f t="array" ref="CC6">IF(CC$2=1,Assumptions!$P6/12,(SUMIF($D$2:$EE$2,CC$2-1,$D6:$EE6)/12)*(1+XLOOKUP(CC$2,Assumptions!$C$94:$M$94,Assumptions!$C$97:$M$97)))</f>
        <v>26694.14717</v>
      </c>
      <c r="CD6" s="54">
        <f t="array" ref="CD6">IF(CD$2=1,Assumptions!$P6/12,(SUMIF($D$2:$EE$2,CD$2-1,$D6:$EE6)/12)*(1+XLOOKUP(CD$2,Assumptions!$C$94:$M$94,Assumptions!$C$97:$M$97)))</f>
        <v>26694.14717</v>
      </c>
      <c r="CE6" s="54">
        <f t="array" ref="CE6">IF(CE$2=1,Assumptions!$P6/12,(SUMIF($D$2:$EE$2,CE$2-1,$D6:$EE6)/12)*(1+XLOOKUP(CE$2,Assumptions!$C$94:$M$94,Assumptions!$C$97:$M$97)))</f>
        <v>26694.14717</v>
      </c>
      <c r="CF6" s="54">
        <f t="array" ref="CF6">IF(CF$2=1,Assumptions!$P6/12,(SUMIF($D$2:$EE$2,CF$2-1,$D6:$EE6)/12)*(1+XLOOKUP(CF$2,Assumptions!$C$94:$M$94,Assumptions!$C$97:$M$97)))</f>
        <v>26694.14717</v>
      </c>
      <c r="CG6" s="54">
        <f t="array" ref="CG6">IF(CG$2=1,Assumptions!$P6/12,(SUMIF($D$2:$EE$2,CG$2-1,$D6:$EE6)/12)*(1+XLOOKUP(CG$2,Assumptions!$C$94:$M$94,Assumptions!$C$97:$M$97)))</f>
        <v>26694.14717</v>
      </c>
      <c r="CH6" s="54">
        <f t="array" ref="CH6">IF(CH$2=1,Assumptions!$P6/12,(SUMIF($D$2:$EE$2,CH$2-1,$D6:$EE6)/12)*(1+XLOOKUP(CH$2,Assumptions!$C$94:$M$94,Assumptions!$C$97:$M$97)))</f>
        <v>26694.14717</v>
      </c>
      <c r="CI6" s="54">
        <f t="array" ref="CI6">IF(CI$2=1,Assumptions!$P6/12,(SUMIF($D$2:$EE$2,CI$2-1,$D6:$EE6)/12)*(1+XLOOKUP(CI$2,Assumptions!$C$94:$M$94,Assumptions!$C$97:$M$97)))</f>
        <v>26694.14717</v>
      </c>
      <c r="CJ6" s="54">
        <f t="array" ref="CJ6">IF(CJ$2=1,Assumptions!$P6/12,(SUMIF($D$2:$EE$2,CJ$2-1,$D6:$EE6)/12)*(1+XLOOKUP(CJ$2,Assumptions!$C$94:$M$94,Assumptions!$C$97:$M$97)))</f>
        <v>27494.97158</v>
      </c>
      <c r="CK6" s="54">
        <f t="array" ref="CK6">IF(CK$2=1,Assumptions!$P6/12,(SUMIF($D$2:$EE$2,CK$2-1,$D6:$EE6)/12)*(1+XLOOKUP(CK$2,Assumptions!$C$94:$M$94,Assumptions!$C$97:$M$97)))</f>
        <v>27494.97158</v>
      </c>
      <c r="CL6" s="54">
        <f t="array" ref="CL6">IF(CL$2=1,Assumptions!$P6/12,(SUMIF($D$2:$EE$2,CL$2-1,$D6:$EE6)/12)*(1+XLOOKUP(CL$2,Assumptions!$C$94:$M$94,Assumptions!$C$97:$M$97)))</f>
        <v>27494.97158</v>
      </c>
      <c r="CM6" s="54">
        <f t="array" ref="CM6">IF(CM$2=1,Assumptions!$P6/12,(SUMIF($D$2:$EE$2,CM$2-1,$D6:$EE6)/12)*(1+XLOOKUP(CM$2,Assumptions!$C$94:$M$94,Assumptions!$C$97:$M$97)))</f>
        <v>27494.97158</v>
      </c>
      <c r="CN6" s="54">
        <f t="array" ref="CN6">IF(CN$2=1,Assumptions!$P6/12,(SUMIF($D$2:$EE$2,CN$2-1,$D6:$EE6)/12)*(1+XLOOKUP(CN$2,Assumptions!$C$94:$M$94,Assumptions!$C$97:$M$97)))</f>
        <v>27494.97158</v>
      </c>
      <c r="CO6" s="54">
        <f t="array" ref="CO6">IF(CO$2=1,Assumptions!$P6/12,(SUMIF($D$2:$EE$2,CO$2-1,$D6:$EE6)/12)*(1+XLOOKUP(CO$2,Assumptions!$C$94:$M$94,Assumptions!$C$97:$M$97)))</f>
        <v>27494.97158</v>
      </c>
      <c r="CP6" s="54">
        <f t="array" ref="CP6">IF(CP$2=1,Assumptions!$P6/12,(SUMIF($D$2:$EE$2,CP$2-1,$D6:$EE6)/12)*(1+XLOOKUP(CP$2,Assumptions!$C$94:$M$94,Assumptions!$C$97:$M$97)))</f>
        <v>27494.97158</v>
      </c>
      <c r="CQ6" s="54">
        <f t="array" ref="CQ6">IF(CQ$2=1,Assumptions!$P6/12,(SUMIF($D$2:$EE$2,CQ$2-1,$D6:$EE6)/12)*(1+XLOOKUP(CQ$2,Assumptions!$C$94:$M$94,Assumptions!$C$97:$M$97)))</f>
        <v>27494.97158</v>
      </c>
      <c r="CR6" s="54">
        <f t="array" ref="CR6">IF(CR$2=1,Assumptions!$P6/12,(SUMIF($D$2:$EE$2,CR$2-1,$D6:$EE6)/12)*(1+XLOOKUP(CR$2,Assumptions!$C$94:$M$94,Assumptions!$C$97:$M$97)))</f>
        <v>27494.97158</v>
      </c>
      <c r="CS6" s="54">
        <f t="array" ref="CS6">IF(CS$2=1,Assumptions!$P6/12,(SUMIF($D$2:$EE$2,CS$2-1,$D6:$EE6)/12)*(1+XLOOKUP(CS$2,Assumptions!$C$94:$M$94,Assumptions!$C$97:$M$97)))</f>
        <v>27494.97158</v>
      </c>
      <c r="CT6" s="54">
        <f t="array" ref="CT6">IF(CT$2=1,Assumptions!$P6/12,(SUMIF($D$2:$EE$2,CT$2-1,$D6:$EE6)/12)*(1+XLOOKUP(CT$2,Assumptions!$C$94:$M$94,Assumptions!$C$97:$M$97)))</f>
        <v>27494.97158</v>
      </c>
      <c r="CU6" s="54">
        <f t="array" ref="CU6">IF(CU$2=1,Assumptions!$P6/12,(SUMIF($D$2:$EE$2,CU$2-1,$D6:$EE6)/12)*(1+XLOOKUP(CU$2,Assumptions!$C$94:$M$94,Assumptions!$C$97:$M$97)))</f>
        <v>27494.97158</v>
      </c>
      <c r="CV6" s="54">
        <f t="array" ref="CV6">IF(CV$2=1,Assumptions!$P6/12,(SUMIF($D$2:$EE$2,CV$2-1,$D6:$EE6)/12)*(1+XLOOKUP(CV$2,Assumptions!$C$94:$M$94,Assumptions!$C$97:$M$97)))</f>
        <v>28319.82073</v>
      </c>
      <c r="CW6" s="54">
        <f t="array" ref="CW6">IF(CW$2=1,Assumptions!$P6/12,(SUMIF($D$2:$EE$2,CW$2-1,$D6:$EE6)/12)*(1+XLOOKUP(CW$2,Assumptions!$C$94:$M$94,Assumptions!$C$97:$M$97)))</f>
        <v>28319.82073</v>
      </c>
      <c r="CX6" s="54">
        <f t="array" ref="CX6">IF(CX$2=1,Assumptions!$P6/12,(SUMIF($D$2:$EE$2,CX$2-1,$D6:$EE6)/12)*(1+XLOOKUP(CX$2,Assumptions!$C$94:$M$94,Assumptions!$C$97:$M$97)))</f>
        <v>28319.82073</v>
      </c>
      <c r="CY6" s="54">
        <f t="array" ref="CY6">IF(CY$2=1,Assumptions!$P6/12,(SUMIF($D$2:$EE$2,CY$2-1,$D6:$EE6)/12)*(1+XLOOKUP(CY$2,Assumptions!$C$94:$M$94,Assumptions!$C$97:$M$97)))</f>
        <v>28319.82073</v>
      </c>
      <c r="CZ6" s="54">
        <f t="array" ref="CZ6">IF(CZ$2=1,Assumptions!$P6/12,(SUMIF($D$2:$EE$2,CZ$2-1,$D6:$EE6)/12)*(1+XLOOKUP(CZ$2,Assumptions!$C$94:$M$94,Assumptions!$C$97:$M$97)))</f>
        <v>28319.82073</v>
      </c>
      <c r="DA6" s="54">
        <f t="array" ref="DA6">IF(DA$2=1,Assumptions!$P6/12,(SUMIF($D$2:$EE$2,DA$2-1,$D6:$EE6)/12)*(1+XLOOKUP(DA$2,Assumptions!$C$94:$M$94,Assumptions!$C$97:$M$97)))</f>
        <v>28319.82073</v>
      </c>
      <c r="DB6" s="54">
        <f t="array" ref="DB6">IF(DB$2=1,Assumptions!$P6/12,(SUMIF($D$2:$EE$2,DB$2-1,$D6:$EE6)/12)*(1+XLOOKUP(DB$2,Assumptions!$C$94:$M$94,Assumptions!$C$97:$M$97)))</f>
        <v>28319.82073</v>
      </c>
      <c r="DC6" s="54">
        <f t="array" ref="DC6">IF(DC$2=1,Assumptions!$P6/12,(SUMIF($D$2:$EE$2,DC$2-1,$D6:$EE6)/12)*(1+XLOOKUP(DC$2,Assumptions!$C$94:$M$94,Assumptions!$C$97:$M$97)))</f>
        <v>28319.82073</v>
      </c>
      <c r="DD6" s="54">
        <f t="array" ref="DD6">IF(DD$2=1,Assumptions!$P6/12,(SUMIF($D$2:$EE$2,DD$2-1,$D6:$EE6)/12)*(1+XLOOKUP(DD$2,Assumptions!$C$94:$M$94,Assumptions!$C$97:$M$97)))</f>
        <v>28319.82073</v>
      </c>
      <c r="DE6" s="54">
        <f t="array" ref="DE6">IF(DE$2=1,Assumptions!$P6/12,(SUMIF($D$2:$EE$2,DE$2-1,$D6:$EE6)/12)*(1+XLOOKUP(DE$2,Assumptions!$C$94:$M$94,Assumptions!$C$97:$M$97)))</f>
        <v>28319.82073</v>
      </c>
      <c r="DF6" s="54">
        <f t="array" ref="DF6">IF(DF$2=1,Assumptions!$P6/12,(SUMIF($D$2:$EE$2,DF$2-1,$D6:$EE6)/12)*(1+XLOOKUP(DF$2,Assumptions!$C$94:$M$94,Assumptions!$C$97:$M$97)))</f>
        <v>28319.82073</v>
      </c>
      <c r="DG6" s="54">
        <f t="array" ref="DG6">IF(DG$2=1,Assumptions!$P6/12,(SUMIF($D$2:$EE$2,DG$2-1,$D6:$EE6)/12)*(1+XLOOKUP(DG$2,Assumptions!$C$94:$M$94,Assumptions!$C$97:$M$97)))</f>
        <v>28319.82073</v>
      </c>
      <c r="DH6" s="54">
        <f t="array" ref="DH6">IF(DH$2=1,Assumptions!$P6/12,(SUMIF($D$2:$EE$2,DH$2-1,$D6:$EE6)/12)*(1+XLOOKUP(DH$2,Assumptions!$C$94:$M$94,Assumptions!$C$97:$M$97)))</f>
        <v>29169.41535</v>
      </c>
      <c r="DI6" s="54">
        <f t="array" ref="DI6">IF(DI$2=1,Assumptions!$P6/12,(SUMIF($D$2:$EE$2,DI$2-1,$D6:$EE6)/12)*(1+XLOOKUP(DI$2,Assumptions!$C$94:$M$94,Assumptions!$C$97:$M$97)))</f>
        <v>29169.41535</v>
      </c>
      <c r="DJ6" s="54">
        <f t="array" ref="DJ6">IF(DJ$2=1,Assumptions!$P6/12,(SUMIF($D$2:$EE$2,DJ$2-1,$D6:$EE6)/12)*(1+XLOOKUP(DJ$2,Assumptions!$C$94:$M$94,Assumptions!$C$97:$M$97)))</f>
        <v>29169.41535</v>
      </c>
      <c r="DK6" s="54">
        <f t="array" ref="DK6">IF(DK$2=1,Assumptions!$P6/12,(SUMIF($D$2:$EE$2,DK$2-1,$D6:$EE6)/12)*(1+XLOOKUP(DK$2,Assumptions!$C$94:$M$94,Assumptions!$C$97:$M$97)))</f>
        <v>29169.41535</v>
      </c>
      <c r="DL6" s="54">
        <f t="array" ref="DL6">IF(DL$2=1,Assumptions!$P6/12,(SUMIF($D$2:$EE$2,DL$2-1,$D6:$EE6)/12)*(1+XLOOKUP(DL$2,Assumptions!$C$94:$M$94,Assumptions!$C$97:$M$97)))</f>
        <v>29169.41535</v>
      </c>
      <c r="DM6" s="54">
        <f t="array" ref="DM6">IF(DM$2=1,Assumptions!$P6/12,(SUMIF($D$2:$EE$2,DM$2-1,$D6:$EE6)/12)*(1+XLOOKUP(DM$2,Assumptions!$C$94:$M$94,Assumptions!$C$97:$M$97)))</f>
        <v>29169.41535</v>
      </c>
      <c r="DN6" s="54">
        <f t="array" ref="DN6">IF(DN$2=1,Assumptions!$P6/12,(SUMIF($D$2:$EE$2,DN$2-1,$D6:$EE6)/12)*(1+XLOOKUP(DN$2,Assumptions!$C$94:$M$94,Assumptions!$C$97:$M$97)))</f>
        <v>29169.41535</v>
      </c>
      <c r="DO6" s="54">
        <f t="array" ref="DO6">IF(DO$2=1,Assumptions!$P6/12,(SUMIF($D$2:$EE$2,DO$2-1,$D6:$EE6)/12)*(1+XLOOKUP(DO$2,Assumptions!$C$94:$M$94,Assumptions!$C$97:$M$97)))</f>
        <v>29169.41535</v>
      </c>
      <c r="DP6" s="54">
        <f t="array" ref="DP6">IF(DP$2=1,Assumptions!$P6/12,(SUMIF($D$2:$EE$2,DP$2-1,$D6:$EE6)/12)*(1+XLOOKUP(DP$2,Assumptions!$C$94:$M$94,Assumptions!$C$97:$M$97)))</f>
        <v>29169.41535</v>
      </c>
      <c r="DQ6" s="54">
        <f t="array" ref="DQ6">IF(DQ$2=1,Assumptions!$P6/12,(SUMIF($D$2:$EE$2,DQ$2-1,$D6:$EE6)/12)*(1+XLOOKUP(DQ$2,Assumptions!$C$94:$M$94,Assumptions!$C$97:$M$97)))</f>
        <v>29169.41535</v>
      </c>
      <c r="DR6" s="54">
        <f t="array" ref="DR6">IF(DR$2=1,Assumptions!$P6/12,(SUMIF($D$2:$EE$2,DR$2-1,$D6:$EE6)/12)*(1+XLOOKUP(DR$2,Assumptions!$C$94:$M$94,Assumptions!$C$97:$M$97)))</f>
        <v>29169.41535</v>
      </c>
      <c r="DS6" s="54">
        <f t="array" ref="DS6">IF(DS$2=1,Assumptions!$P6/12,(SUMIF($D$2:$EE$2,DS$2-1,$D6:$EE6)/12)*(1+XLOOKUP(DS$2,Assumptions!$C$94:$M$94,Assumptions!$C$97:$M$97)))</f>
        <v>29169.41535</v>
      </c>
      <c r="DT6" s="54">
        <f t="array" ref="DT6">IF(DT$2=1,Assumptions!$P6/12,(SUMIF($D$2:$EE$2,DT$2-1,$D6:$EE6)/12)*(1+XLOOKUP(DT$2,Assumptions!$C$94:$M$94,Assumptions!$C$97:$M$97)))</f>
        <v>30044.49781</v>
      </c>
      <c r="DU6" s="54">
        <f t="array" ref="DU6">IF(DU$2=1,Assumptions!$P6/12,(SUMIF($D$2:$EE$2,DU$2-1,$D6:$EE6)/12)*(1+XLOOKUP(DU$2,Assumptions!$C$94:$M$94,Assumptions!$C$97:$M$97)))</f>
        <v>30044.49781</v>
      </c>
      <c r="DV6" s="54">
        <f t="array" ref="DV6">IF(DV$2=1,Assumptions!$P6/12,(SUMIF($D$2:$EE$2,DV$2-1,$D6:$EE6)/12)*(1+XLOOKUP(DV$2,Assumptions!$C$94:$M$94,Assumptions!$C$97:$M$97)))</f>
        <v>30044.49781</v>
      </c>
      <c r="DW6" s="54">
        <f t="array" ref="DW6">IF(DW$2=1,Assumptions!$P6/12,(SUMIF($D$2:$EE$2,DW$2-1,$D6:$EE6)/12)*(1+XLOOKUP(DW$2,Assumptions!$C$94:$M$94,Assumptions!$C$97:$M$97)))</f>
        <v>30044.49781</v>
      </c>
      <c r="DX6" s="54">
        <f t="array" ref="DX6">IF(DX$2=1,Assumptions!$P6/12,(SUMIF($D$2:$EE$2,DX$2-1,$D6:$EE6)/12)*(1+XLOOKUP(DX$2,Assumptions!$C$94:$M$94,Assumptions!$C$97:$M$97)))</f>
        <v>30044.49781</v>
      </c>
      <c r="DY6" s="54">
        <f t="array" ref="DY6">IF(DY$2=1,Assumptions!$P6/12,(SUMIF($D$2:$EE$2,DY$2-1,$D6:$EE6)/12)*(1+XLOOKUP(DY$2,Assumptions!$C$94:$M$94,Assumptions!$C$97:$M$97)))</f>
        <v>30044.49781</v>
      </c>
      <c r="DZ6" s="54">
        <f t="array" ref="DZ6">IF(DZ$2=1,Assumptions!$P6/12,(SUMIF($D$2:$EE$2,DZ$2-1,$D6:$EE6)/12)*(1+XLOOKUP(DZ$2,Assumptions!$C$94:$M$94,Assumptions!$C$97:$M$97)))</f>
        <v>30044.49781</v>
      </c>
      <c r="EA6" s="54">
        <f t="array" ref="EA6">IF(EA$2=1,Assumptions!$P6/12,(SUMIF($D$2:$EE$2,EA$2-1,$D6:$EE6)/12)*(1+XLOOKUP(EA$2,Assumptions!$C$94:$M$94,Assumptions!$C$97:$M$97)))</f>
        <v>30044.49781</v>
      </c>
      <c r="EB6" s="54">
        <f t="array" ref="EB6">IF(EB$2=1,Assumptions!$P6/12,(SUMIF($D$2:$EE$2,EB$2-1,$D6:$EE6)/12)*(1+XLOOKUP(EB$2,Assumptions!$C$94:$M$94,Assumptions!$C$97:$M$97)))</f>
        <v>30044.49781</v>
      </c>
      <c r="EC6" s="54">
        <f t="array" ref="EC6">IF(EC$2=1,Assumptions!$P6/12,(SUMIF($D$2:$EE$2,EC$2-1,$D6:$EE6)/12)*(1+XLOOKUP(EC$2,Assumptions!$C$94:$M$94,Assumptions!$C$97:$M$97)))</f>
        <v>30044.49781</v>
      </c>
      <c r="ED6" s="54">
        <f t="array" ref="ED6">IF(ED$2=1,Assumptions!$P6/12,(SUMIF($D$2:$EE$2,ED$2-1,$D6:$EE6)/12)*(1+XLOOKUP(ED$2,Assumptions!$C$94:$M$94,Assumptions!$C$97:$M$97)))</f>
        <v>30044.49781</v>
      </c>
      <c r="EE6" s="54">
        <f t="array" ref="EE6">IF(EE$2=1,Assumptions!$P6/12,(SUMIF($D$2:$EE$2,EE$2-1,$D6:$EE6)/12)*(1+XLOOKUP(EE$2,Assumptions!$C$94:$M$94,Assumptions!$C$97:$M$97)))</f>
        <v>30044.49781</v>
      </c>
    </row>
    <row r="7" ht="15.75" customHeight="1">
      <c r="A7" s="1"/>
      <c r="B7" s="1"/>
      <c r="C7" s="1" t="str">
        <f>Assumptions!J7</f>
        <v>3x3</v>
      </c>
      <c r="D7" s="54">
        <f t="array" ref="D7">IF(D$2=1,Assumptions!$P7/12,(SUMIF($D$2:$EE$2,D$2-1,$D7:$EE7)/12)*(1+XLOOKUP(D$2,Assumptions!$C$94:$M$94,Assumptions!$C$97:$M$97)))</f>
        <v>40108.446</v>
      </c>
      <c r="E7" s="54">
        <f t="array" ref="E7">IF(E$2=1,Assumptions!$P7/12,(SUMIF($D$2:$EE$2,E$2-1,$D7:$EE7)/12)*(1+XLOOKUP(E$2,Assumptions!$C$94:$M$94,Assumptions!$C$97:$M$97)))</f>
        <v>40108.446</v>
      </c>
      <c r="F7" s="54">
        <f t="array" ref="F7">IF(F$2=1,Assumptions!$P7/12,(SUMIF($D$2:$EE$2,F$2-1,$D7:$EE7)/12)*(1+XLOOKUP(F$2,Assumptions!$C$94:$M$94,Assumptions!$C$97:$M$97)))</f>
        <v>40108.446</v>
      </c>
      <c r="G7" s="54">
        <f t="array" ref="G7">IF(G$2=1,Assumptions!$P7/12,(SUMIF($D$2:$EE$2,G$2-1,$D7:$EE7)/12)*(1+XLOOKUP(G$2,Assumptions!$C$94:$M$94,Assumptions!$C$97:$M$97)))</f>
        <v>40108.446</v>
      </c>
      <c r="H7" s="54">
        <f t="array" ref="H7">IF(H$2=1,Assumptions!$P7/12,(SUMIF($D$2:$EE$2,H$2-1,$D7:$EE7)/12)*(1+XLOOKUP(H$2,Assumptions!$C$94:$M$94,Assumptions!$C$97:$M$97)))</f>
        <v>40108.446</v>
      </c>
      <c r="I7" s="54">
        <f t="array" ref="I7">IF(I$2=1,Assumptions!$P7/12,(SUMIF($D$2:$EE$2,I$2-1,$D7:$EE7)/12)*(1+XLOOKUP(I$2,Assumptions!$C$94:$M$94,Assumptions!$C$97:$M$97)))</f>
        <v>40108.446</v>
      </c>
      <c r="J7" s="54">
        <f t="array" ref="J7">IF(J$2=1,Assumptions!$P7/12,(SUMIF($D$2:$EE$2,J$2-1,$D7:$EE7)/12)*(1+XLOOKUP(J$2,Assumptions!$C$94:$M$94,Assumptions!$C$97:$M$97)))</f>
        <v>40108.446</v>
      </c>
      <c r="K7" s="54">
        <f t="array" ref="K7">IF(K$2=1,Assumptions!$P7/12,(SUMIF($D$2:$EE$2,K$2-1,$D7:$EE7)/12)*(1+XLOOKUP(K$2,Assumptions!$C$94:$M$94,Assumptions!$C$97:$M$97)))</f>
        <v>40108.446</v>
      </c>
      <c r="L7" s="54">
        <f t="array" ref="L7">IF(L$2=1,Assumptions!$P7/12,(SUMIF($D$2:$EE$2,L$2-1,$D7:$EE7)/12)*(1+XLOOKUP(L$2,Assumptions!$C$94:$M$94,Assumptions!$C$97:$M$97)))</f>
        <v>40108.446</v>
      </c>
      <c r="M7" s="54">
        <f t="array" ref="M7">IF(M$2=1,Assumptions!$P7/12,(SUMIF($D$2:$EE$2,M$2-1,$D7:$EE7)/12)*(1+XLOOKUP(M$2,Assumptions!$C$94:$M$94,Assumptions!$C$97:$M$97)))</f>
        <v>40108.446</v>
      </c>
      <c r="N7" s="54">
        <f t="array" ref="N7">IF(N$2=1,Assumptions!$P7/12,(SUMIF($D$2:$EE$2,N$2-1,$D7:$EE7)/12)*(1+XLOOKUP(N$2,Assumptions!$C$94:$M$94,Assumptions!$C$97:$M$97)))</f>
        <v>40108.446</v>
      </c>
      <c r="O7" s="54">
        <f t="array" ref="O7">IF(O$2=1,Assumptions!$P7/12,(SUMIF($D$2:$EE$2,O$2-1,$D7:$EE7)/12)*(1+XLOOKUP(O$2,Assumptions!$C$94:$M$94,Assumptions!$C$97:$M$97)))</f>
        <v>40108.446</v>
      </c>
      <c r="P7" s="54">
        <f t="array" ref="P7">IF(P$2=1,Assumptions!$P7/12,(SUMIF($D$2:$EE$2,P$2-1,$D7:$EE7)/12)*(1+XLOOKUP(P$2,Assumptions!$C$94:$M$94,Assumptions!$C$97:$M$97)))</f>
        <v>41311.69938</v>
      </c>
      <c r="Q7" s="54">
        <f t="array" ref="Q7">IF(Q$2=1,Assumptions!$P7/12,(SUMIF($D$2:$EE$2,Q$2-1,$D7:$EE7)/12)*(1+XLOOKUP(Q$2,Assumptions!$C$94:$M$94,Assumptions!$C$97:$M$97)))</f>
        <v>41311.69938</v>
      </c>
      <c r="R7" s="54">
        <f t="array" ref="R7">IF(R$2=1,Assumptions!$P7/12,(SUMIF($D$2:$EE$2,R$2-1,$D7:$EE7)/12)*(1+XLOOKUP(R$2,Assumptions!$C$94:$M$94,Assumptions!$C$97:$M$97)))</f>
        <v>41311.69938</v>
      </c>
      <c r="S7" s="54">
        <f t="array" ref="S7">IF(S$2=1,Assumptions!$P7/12,(SUMIF($D$2:$EE$2,S$2-1,$D7:$EE7)/12)*(1+XLOOKUP(S$2,Assumptions!$C$94:$M$94,Assumptions!$C$97:$M$97)))</f>
        <v>41311.69938</v>
      </c>
      <c r="T7" s="54">
        <f t="array" ref="T7">IF(T$2=1,Assumptions!$P7/12,(SUMIF($D$2:$EE$2,T$2-1,$D7:$EE7)/12)*(1+XLOOKUP(T$2,Assumptions!$C$94:$M$94,Assumptions!$C$97:$M$97)))</f>
        <v>41311.69938</v>
      </c>
      <c r="U7" s="54">
        <f t="array" ref="U7">IF(U$2=1,Assumptions!$P7/12,(SUMIF($D$2:$EE$2,U$2-1,$D7:$EE7)/12)*(1+XLOOKUP(U$2,Assumptions!$C$94:$M$94,Assumptions!$C$97:$M$97)))</f>
        <v>41311.69938</v>
      </c>
      <c r="V7" s="54">
        <f t="array" ref="V7">IF(V$2=1,Assumptions!$P7/12,(SUMIF($D$2:$EE$2,V$2-1,$D7:$EE7)/12)*(1+XLOOKUP(V$2,Assumptions!$C$94:$M$94,Assumptions!$C$97:$M$97)))</f>
        <v>41311.69938</v>
      </c>
      <c r="W7" s="54">
        <f t="array" ref="W7">IF(W$2=1,Assumptions!$P7/12,(SUMIF($D$2:$EE$2,W$2-1,$D7:$EE7)/12)*(1+XLOOKUP(W$2,Assumptions!$C$94:$M$94,Assumptions!$C$97:$M$97)))</f>
        <v>41311.69938</v>
      </c>
      <c r="X7" s="54">
        <f t="array" ref="X7">IF(X$2=1,Assumptions!$P7/12,(SUMIF($D$2:$EE$2,X$2-1,$D7:$EE7)/12)*(1+XLOOKUP(X$2,Assumptions!$C$94:$M$94,Assumptions!$C$97:$M$97)))</f>
        <v>41311.69938</v>
      </c>
      <c r="Y7" s="54">
        <f t="array" ref="Y7">IF(Y$2=1,Assumptions!$P7/12,(SUMIF($D$2:$EE$2,Y$2-1,$D7:$EE7)/12)*(1+XLOOKUP(Y$2,Assumptions!$C$94:$M$94,Assumptions!$C$97:$M$97)))</f>
        <v>41311.69938</v>
      </c>
      <c r="Z7" s="54">
        <f t="array" ref="Z7">IF(Z$2=1,Assumptions!$P7/12,(SUMIF($D$2:$EE$2,Z$2-1,$D7:$EE7)/12)*(1+XLOOKUP(Z$2,Assumptions!$C$94:$M$94,Assumptions!$C$97:$M$97)))</f>
        <v>41311.69938</v>
      </c>
      <c r="AA7" s="54">
        <f t="array" ref="AA7">IF(AA$2=1,Assumptions!$P7/12,(SUMIF($D$2:$EE$2,AA$2-1,$D7:$EE7)/12)*(1+XLOOKUP(AA$2,Assumptions!$C$94:$M$94,Assumptions!$C$97:$M$97)))</f>
        <v>41311.69938</v>
      </c>
      <c r="AB7" s="54">
        <f t="array" ref="AB7">IF(AB$2=1,Assumptions!$P7/12,(SUMIF($D$2:$EE$2,AB$2-1,$D7:$EE7)/12)*(1+XLOOKUP(AB$2,Assumptions!$C$94:$M$94,Assumptions!$C$97:$M$97)))</f>
        <v>42551.05036</v>
      </c>
      <c r="AC7" s="54">
        <f t="array" ref="AC7">IF(AC$2=1,Assumptions!$P7/12,(SUMIF($D$2:$EE$2,AC$2-1,$D7:$EE7)/12)*(1+XLOOKUP(AC$2,Assumptions!$C$94:$M$94,Assumptions!$C$97:$M$97)))</f>
        <v>42551.05036</v>
      </c>
      <c r="AD7" s="54">
        <f t="array" ref="AD7">IF(AD$2=1,Assumptions!$P7/12,(SUMIF($D$2:$EE$2,AD$2-1,$D7:$EE7)/12)*(1+XLOOKUP(AD$2,Assumptions!$C$94:$M$94,Assumptions!$C$97:$M$97)))</f>
        <v>42551.05036</v>
      </c>
      <c r="AE7" s="54">
        <f t="array" ref="AE7">IF(AE$2=1,Assumptions!$P7/12,(SUMIF($D$2:$EE$2,AE$2-1,$D7:$EE7)/12)*(1+XLOOKUP(AE$2,Assumptions!$C$94:$M$94,Assumptions!$C$97:$M$97)))</f>
        <v>42551.05036</v>
      </c>
      <c r="AF7" s="54">
        <f t="array" ref="AF7">IF(AF$2=1,Assumptions!$P7/12,(SUMIF($D$2:$EE$2,AF$2-1,$D7:$EE7)/12)*(1+XLOOKUP(AF$2,Assumptions!$C$94:$M$94,Assumptions!$C$97:$M$97)))</f>
        <v>42551.05036</v>
      </c>
      <c r="AG7" s="54">
        <f t="array" ref="AG7">IF(AG$2=1,Assumptions!$P7/12,(SUMIF($D$2:$EE$2,AG$2-1,$D7:$EE7)/12)*(1+XLOOKUP(AG$2,Assumptions!$C$94:$M$94,Assumptions!$C$97:$M$97)))</f>
        <v>42551.05036</v>
      </c>
      <c r="AH7" s="54">
        <f t="array" ref="AH7">IF(AH$2=1,Assumptions!$P7/12,(SUMIF($D$2:$EE$2,AH$2-1,$D7:$EE7)/12)*(1+XLOOKUP(AH$2,Assumptions!$C$94:$M$94,Assumptions!$C$97:$M$97)))</f>
        <v>42551.05036</v>
      </c>
      <c r="AI7" s="54">
        <f t="array" ref="AI7">IF(AI$2=1,Assumptions!$P7/12,(SUMIF($D$2:$EE$2,AI$2-1,$D7:$EE7)/12)*(1+XLOOKUP(AI$2,Assumptions!$C$94:$M$94,Assumptions!$C$97:$M$97)))</f>
        <v>42551.05036</v>
      </c>
      <c r="AJ7" s="54">
        <f t="array" ref="AJ7">IF(AJ$2=1,Assumptions!$P7/12,(SUMIF($D$2:$EE$2,AJ$2-1,$D7:$EE7)/12)*(1+XLOOKUP(AJ$2,Assumptions!$C$94:$M$94,Assumptions!$C$97:$M$97)))</f>
        <v>42551.05036</v>
      </c>
      <c r="AK7" s="54">
        <f t="array" ref="AK7">IF(AK$2=1,Assumptions!$P7/12,(SUMIF($D$2:$EE$2,AK$2-1,$D7:$EE7)/12)*(1+XLOOKUP(AK$2,Assumptions!$C$94:$M$94,Assumptions!$C$97:$M$97)))</f>
        <v>42551.05036</v>
      </c>
      <c r="AL7" s="54">
        <f t="array" ref="AL7">IF(AL$2=1,Assumptions!$P7/12,(SUMIF($D$2:$EE$2,AL$2-1,$D7:$EE7)/12)*(1+XLOOKUP(AL$2,Assumptions!$C$94:$M$94,Assumptions!$C$97:$M$97)))</f>
        <v>42551.05036</v>
      </c>
      <c r="AM7" s="54">
        <f t="array" ref="AM7">IF(AM$2=1,Assumptions!$P7/12,(SUMIF($D$2:$EE$2,AM$2-1,$D7:$EE7)/12)*(1+XLOOKUP(AM$2,Assumptions!$C$94:$M$94,Assumptions!$C$97:$M$97)))</f>
        <v>42551.05036</v>
      </c>
      <c r="AN7" s="54">
        <f t="array" ref="AN7">IF(AN$2=1,Assumptions!$P7/12,(SUMIF($D$2:$EE$2,AN$2-1,$D7:$EE7)/12)*(1+XLOOKUP(AN$2,Assumptions!$C$94:$M$94,Assumptions!$C$97:$M$97)))</f>
        <v>43827.58187</v>
      </c>
      <c r="AO7" s="54">
        <f t="array" ref="AO7">IF(AO$2=1,Assumptions!$P7/12,(SUMIF($D$2:$EE$2,AO$2-1,$D7:$EE7)/12)*(1+XLOOKUP(AO$2,Assumptions!$C$94:$M$94,Assumptions!$C$97:$M$97)))</f>
        <v>43827.58187</v>
      </c>
      <c r="AP7" s="54">
        <f t="array" ref="AP7">IF(AP$2=1,Assumptions!$P7/12,(SUMIF($D$2:$EE$2,AP$2-1,$D7:$EE7)/12)*(1+XLOOKUP(AP$2,Assumptions!$C$94:$M$94,Assumptions!$C$97:$M$97)))</f>
        <v>43827.58187</v>
      </c>
      <c r="AQ7" s="54">
        <f t="array" ref="AQ7">IF(AQ$2=1,Assumptions!$P7/12,(SUMIF($D$2:$EE$2,AQ$2-1,$D7:$EE7)/12)*(1+XLOOKUP(AQ$2,Assumptions!$C$94:$M$94,Assumptions!$C$97:$M$97)))</f>
        <v>43827.58187</v>
      </c>
      <c r="AR7" s="54">
        <f t="array" ref="AR7">IF(AR$2=1,Assumptions!$P7/12,(SUMIF($D$2:$EE$2,AR$2-1,$D7:$EE7)/12)*(1+XLOOKUP(AR$2,Assumptions!$C$94:$M$94,Assumptions!$C$97:$M$97)))</f>
        <v>43827.58187</v>
      </c>
      <c r="AS7" s="54">
        <f t="array" ref="AS7">IF(AS$2=1,Assumptions!$P7/12,(SUMIF($D$2:$EE$2,AS$2-1,$D7:$EE7)/12)*(1+XLOOKUP(AS$2,Assumptions!$C$94:$M$94,Assumptions!$C$97:$M$97)))</f>
        <v>43827.58187</v>
      </c>
      <c r="AT7" s="54">
        <f t="array" ref="AT7">IF(AT$2=1,Assumptions!$P7/12,(SUMIF($D$2:$EE$2,AT$2-1,$D7:$EE7)/12)*(1+XLOOKUP(AT$2,Assumptions!$C$94:$M$94,Assumptions!$C$97:$M$97)))</f>
        <v>43827.58187</v>
      </c>
      <c r="AU7" s="54">
        <f t="array" ref="AU7">IF(AU$2=1,Assumptions!$P7/12,(SUMIF($D$2:$EE$2,AU$2-1,$D7:$EE7)/12)*(1+XLOOKUP(AU$2,Assumptions!$C$94:$M$94,Assumptions!$C$97:$M$97)))</f>
        <v>43827.58187</v>
      </c>
      <c r="AV7" s="54">
        <f t="array" ref="AV7">IF(AV$2=1,Assumptions!$P7/12,(SUMIF($D$2:$EE$2,AV$2-1,$D7:$EE7)/12)*(1+XLOOKUP(AV$2,Assumptions!$C$94:$M$94,Assumptions!$C$97:$M$97)))</f>
        <v>43827.58187</v>
      </c>
      <c r="AW7" s="54">
        <f t="array" ref="AW7">IF(AW$2=1,Assumptions!$P7/12,(SUMIF($D$2:$EE$2,AW$2-1,$D7:$EE7)/12)*(1+XLOOKUP(AW$2,Assumptions!$C$94:$M$94,Assumptions!$C$97:$M$97)))</f>
        <v>43827.58187</v>
      </c>
      <c r="AX7" s="54">
        <f t="array" ref="AX7">IF(AX$2=1,Assumptions!$P7/12,(SUMIF($D$2:$EE$2,AX$2-1,$D7:$EE7)/12)*(1+XLOOKUP(AX$2,Assumptions!$C$94:$M$94,Assumptions!$C$97:$M$97)))</f>
        <v>43827.58187</v>
      </c>
      <c r="AY7" s="54">
        <f t="array" ref="AY7">IF(AY$2=1,Assumptions!$P7/12,(SUMIF($D$2:$EE$2,AY$2-1,$D7:$EE7)/12)*(1+XLOOKUP(AY$2,Assumptions!$C$94:$M$94,Assumptions!$C$97:$M$97)))</f>
        <v>43827.58187</v>
      </c>
      <c r="AZ7" s="54">
        <f t="array" ref="AZ7">IF(AZ$2=1,Assumptions!$P7/12,(SUMIF($D$2:$EE$2,AZ$2-1,$D7:$EE7)/12)*(1+XLOOKUP(AZ$2,Assumptions!$C$94:$M$94,Assumptions!$C$97:$M$97)))</f>
        <v>45142.40933</v>
      </c>
      <c r="BA7" s="54">
        <f t="array" ref="BA7">IF(BA$2=1,Assumptions!$P7/12,(SUMIF($D$2:$EE$2,BA$2-1,$D7:$EE7)/12)*(1+XLOOKUP(BA$2,Assumptions!$C$94:$M$94,Assumptions!$C$97:$M$97)))</f>
        <v>45142.40933</v>
      </c>
      <c r="BB7" s="54">
        <f t="array" ref="BB7">IF(BB$2=1,Assumptions!$P7/12,(SUMIF($D$2:$EE$2,BB$2-1,$D7:$EE7)/12)*(1+XLOOKUP(BB$2,Assumptions!$C$94:$M$94,Assumptions!$C$97:$M$97)))</f>
        <v>45142.40933</v>
      </c>
      <c r="BC7" s="54">
        <f t="array" ref="BC7">IF(BC$2=1,Assumptions!$P7/12,(SUMIF($D$2:$EE$2,BC$2-1,$D7:$EE7)/12)*(1+XLOOKUP(BC$2,Assumptions!$C$94:$M$94,Assumptions!$C$97:$M$97)))</f>
        <v>45142.40933</v>
      </c>
      <c r="BD7" s="54">
        <f t="array" ref="BD7">IF(BD$2=1,Assumptions!$P7/12,(SUMIF($D$2:$EE$2,BD$2-1,$D7:$EE7)/12)*(1+XLOOKUP(BD$2,Assumptions!$C$94:$M$94,Assumptions!$C$97:$M$97)))</f>
        <v>45142.40933</v>
      </c>
      <c r="BE7" s="54">
        <f t="array" ref="BE7">IF(BE$2=1,Assumptions!$P7/12,(SUMIF($D$2:$EE$2,BE$2-1,$D7:$EE7)/12)*(1+XLOOKUP(BE$2,Assumptions!$C$94:$M$94,Assumptions!$C$97:$M$97)))</f>
        <v>45142.40933</v>
      </c>
      <c r="BF7" s="54">
        <f t="array" ref="BF7">IF(BF$2=1,Assumptions!$P7/12,(SUMIF($D$2:$EE$2,BF$2-1,$D7:$EE7)/12)*(1+XLOOKUP(BF$2,Assumptions!$C$94:$M$94,Assumptions!$C$97:$M$97)))</f>
        <v>45142.40933</v>
      </c>
      <c r="BG7" s="54">
        <f t="array" ref="BG7">IF(BG$2=1,Assumptions!$P7/12,(SUMIF($D$2:$EE$2,BG$2-1,$D7:$EE7)/12)*(1+XLOOKUP(BG$2,Assumptions!$C$94:$M$94,Assumptions!$C$97:$M$97)))</f>
        <v>45142.40933</v>
      </c>
      <c r="BH7" s="54">
        <f t="array" ref="BH7">IF(BH$2=1,Assumptions!$P7/12,(SUMIF($D$2:$EE$2,BH$2-1,$D7:$EE7)/12)*(1+XLOOKUP(BH$2,Assumptions!$C$94:$M$94,Assumptions!$C$97:$M$97)))</f>
        <v>45142.40933</v>
      </c>
      <c r="BI7" s="54">
        <f t="array" ref="BI7">IF(BI$2=1,Assumptions!$P7/12,(SUMIF($D$2:$EE$2,BI$2-1,$D7:$EE7)/12)*(1+XLOOKUP(BI$2,Assumptions!$C$94:$M$94,Assumptions!$C$97:$M$97)))</f>
        <v>45142.40933</v>
      </c>
      <c r="BJ7" s="54">
        <f t="array" ref="BJ7">IF(BJ$2=1,Assumptions!$P7/12,(SUMIF($D$2:$EE$2,BJ$2-1,$D7:$EE7)/12)*(1+XLOOKUP(BJ$2,Assumptions!$C$94:$M$94,Assumptions!$C$97:$M$97)))</f>
        <v>45142.40933</v>
      </c>
      <c r="BK7" s="54">
        <f t="array" ref="BK7">IF(BK$2=1,Assumptions!$P7/12,(SUMIF($D$2:$EE$2,BK$2-1,$D7:$EE7)/12)*(1+XLOOKUP(BK$2,Assumptions!$C$94:$M$94,Assumptions!$C$97:$M$97)))</f>
        <v>45142.40933</v>
      </c>
      <c r="BL7" s="54">
        <f t="array" ref="BL7">IF(BL$2=1,Assumptions!$P7/12,(SUMIF($D$2:$EE$2,BL$2-1,$D7:$EE7)/12)*(1+XLOOKUP(BL$2,Assumptions!$C$94:$M$94,Assumptions!$C$97:$M$97)))</f>
        <v>46496.68161</v>
      </c>
      <c r="BM7" s="54">
        <f t="array" ref="BM7">IF(BM$2=1,Assumptions!$P7/12,(SUMIF($D$2:$EE$2,BM$2-1,$D7:$EE7)/12)*(1+XLOOKUP(BM$2,Assumptions!$C$94:$M$94,Assumptions!$C$97:$M$97)))</f>
        <v>46496.68161</v>
      </c>
      <c r="BN7" s="54">
        <f t="array" ref="BN7">IF(BN$2=1,Assumptions!$P7/12,(SUMIF($D$2:$EE$2,BN$2-1,$D7:$EE7)/12)*(1+XLOOKUP(BN$2,Assumptions!$C$94:$M$94,Assumptions!$C$97:$M$97)))</f>
        <v>46496.68161</v>
      </c>
      <c r="BO7" s="54">
        <f t="array" ref="BO7">IF(BO$2=1,Assumptions!$P7/12,(SUMIF($D$2:$EE$2,BO$2-1,$D7:$EE7)/12)*(1+XLOOKUP(BO$2,Assumptions!$C$94:$M$94,Assumptions!$C$97:$M$97)))</f>
        <v>46496.68161</v>
      </c>
      <c r="BP7" s="54">
        <f t="array" ref="BP7">IF(BP$2=1,Assumptions!$P7/12,(SUMIF($D$2:$EE$2,BP$2-1,$D7:$EE7)/12)*(1+XLOOKUP(BP$2,Assumptions!$C$94:$M$94,Assumptions!$C$97:$M$97)))</f>
        <v>46496.68161</v>
      </c>
      <c r="BQ7" s="54">
        <f t="array" ref="BQ7">IF(BQ$2=1,Assumptions!$P7/12,(SUMIF($D$2:$EE$2,BQ$2-1,$D7:$EE7)/12)*(1+XLOOKUP(BQ$2,Assumptions!$C$94:$M$94,Assumptions!$C$97:$M$97)))</f>
        <v>46496.68161</v>
      </c>
      <c r="BR7" s="54">
        <f t="array" ref="BR7">IF(BR$2=1,Assumptions!$P7/12,(SUMIF($D$2:$EE$2,BR$2-1,$D7:$EE7)/12)*(1+XLOOKUP(BR$2,Assumptions!$C$94:$M$94,Assumptions!$C$97:$M$97)))</f>
        <v>46496.68161</v>
      </c>
      <c r="BS7" s="54">
        <f t="array" ref="BS7">IF(BS$2=1,Assumptions!$P7/12,(SUMIF($D$2:$EE$2,BS$2-1,$D7:$EE7)/12)*(1+XLOOKUP(BS$2,Assumptions!$C$94:$M$94,Assumptions!$C$97:$M$97)))</f>
        <v>46496.68161</v>
      </c>
      <c r="BT7" s="54">
        <f t="array" ref="BT7">IF(BT$2=1,Assumptions!$P7/12,(SUMIF($D$2:$EE$2,BT$2-1,$D7:$EE7)/12)*(1+XLOOKUP(BT$2,Assumptions!$C$94:$M$94,Assumptions!$C$97:$M$97)))</f>
        <v>46496.68161</v>
      </c>
      <c r="BU7" s="54">
        <f t="array" ref="BU7">IF(BU$2=1,Assumptions!$P7/12,(SUMIF($D$2:$EE$2,BU$2-1,$D7:$EE7)/12)*(1+XLOOKUP(BU$2,Assumptions!$C$94:$M$94,Assumptions!$C$97:$M$97)))</f>
        <v>46496.68161</v>
      </c>
      <c r="BV7" s="54">
        <f t="array" ref="BV7">IF(BV$2=1,Assumptions!$P7/12,(SUMIF($D$2:$EE$2,BV$2-1,$D7:$EE7)/12)*(1+XLOOKUP(BV$2,Assumptions!$C$94:$M$94,Assumptions!$C$97:$M$97)))</f>
        <v>46496.68161</v>
      </c>
      <c r="BW7" s="54">
        <f t="array" ref="BW7">IF(BW$2=1,Assumptions!$P7/12,(SUMIF($D$2:$EE$2,BW$2-1,$D7:$EE7)/12)*(1+XLOOKUP(BW$2,Assumptions!$C$94:$M$94,Assumptions!$C$97:$M$97)))</f>
        <v>46496.68161</v>
      </c>
      <c r="BX7" s="54">
        <f t="array" ref="BX7">IF(BX$2=1,Assumptions!$P7/12,(SUMIF($D$2:$EE$2,BX$2-1,$D7:$EE7)/12)*(1+XLOOKUP(BX$2,Assumptions!$C$94:$M$94,Assumptions!$C$97:$M$97)))</f>
        <v>47891.58206</v>
      </c>
      <c r="BY7" s="54">
        <f t="array" ref="BY7">IF(BY$2=1,Assumptions!$P7/12,(SUMIF($D$2:$EE$2,BY$2-1,$D7:$EE7)/12)*(1+XLOOKUP(BY$2,Assumptions!$C$94:$M$94,Assumptions!$C$97:$M$97)))</f>
        <v>47891.58206</v>
      </c>
      <c r="BZ7" s="54">
        <f t="array" ref="BZ7">IF(BZ$2=1,Assumptions!$P7/12,(SUMIF($D$2:$EE$2,BZ$2-1,$D7:$EE7)/12)*(1+XLOOKUP(BZ$2,Assumptions!$C$94:$M$94,Assumptions!$C$97:$M$97)))</f>
        <v>47891.58206</v>
      </c>
      <c r="CA7" s="54">
        <f t="array" ref="CA7">IF(CA$2=1,Assumptions!$P7/12,(SUMIF($D$2:$EE$2,CA$2-1,$D7:$EE7)/12)*(1+XLOOKUP(CA$2,Assumptions!$C$94:$M$94,Assumptions!$C$97:$M$97)))</f>
        <v>47891.58206</v>
      </c>
      <c r="CB7" s="54">
        <f t="array" ref="CB7">IF(CB$2=1,Assumptions!$P7/12,(SUMIF($D$2:$EE$2,CB$2-1,$D7:$EE7)/12)*(1+XLOOKUP(CB$2,Assumptions!$C$94:$M$94,Assumptions!$C$97:$M$97)))</f>
        <v>47891.58206</v>
      </c>
      <c r="CC7" s="54">
        <f t="array" ref="CC7">IF(CC$2=1,Assumptions!$P7/12,(SUMIF($D$2:$EE$2,CC$2-1,$D7:$EE7)/12)*(1+XLOOKUP(CC$2,Assumptions!$C$94:$M$94,Assumptions!$C$97:$M$97)))</f>
        <v>47891.58206</v>
      </c>
      <c r="CD7" s="54">
        <f t="array" ref="CD7">IF(CD$2=1,Assumptions!$P7/12,(SUMIF($D$2:$EE$2,CD$2-1,$D7:$EE7)/12)*(1+XLOOKUP(CD$2,Assumptions!$C$94:$M$94,Assumptions!$C$97:$M$97)))</f>
        <v>47891.58206</v>
      </c>
      <c r="CE7" s="54">
        <f t="array" ref="CE7">IF(CE$2=1,Assumptions!$P7/12,(SUMIF($D$2:$EE$2,CE$2-1,$D7:$EE7)/12)*(1+XLOOKUP(CE$2,Assumptions!$C$94:$M$94,Assumptions!$C$97:$M$97)))</f>
        <v>47891.58206</v>
      </c>
      <c r="CF7" s="54">
        <f t="array" ref="CF7">IF(CF$2=1,Assumptions!$P7/12,(SUMIF($D$2:$EE$2,CF$2-1,$D7:$EE7)/12)*(1+XLOOKUP(CF$2,Assumptions!$C$94:$M$94,Assumptions!$C$97:$M$97)))</f>
        <v>47891.58206</v>
      </c>
      <c r="CG7" s="54">
        <f t="array" ref="CG7">IF(CG$2=1,Assumptions!$P7/12,(SUMIF($D$2:$EE$2,CG$2-1,$D7:$EE7)/12)*(1+XLOOKUP(CG$2,Assumptions!$C$94:$M$94,Assumptions!$C$97:$M$97)))</f>
        <v>47891.58206</v>
      </c>
      <c r="CH7" s="54">
        <f t="array" ref="CH7">IF(CH$2=1,Assumptions!$P7/12,(SUMIF($D$2:$EE$2,CH$2-1,$D7:$EE7)/12)*(1+XLOOKUP(CH$2,Assumptions!$C$94:$M$94,Assumptions!$C$97:$M$97)))</f>
        <v>47891.58206</v>
      </c>
      <c r="CI7" s="54">
        <f t="array" ref="CI7">IF(CI$2=1,Assumptions!$P7/12,(SUMIF($D$2:$EE$2,CI$2-1,$D7:$EE7)/12)*(1+XLOOKUP(CI$2,Assumptions!$C$94:$M$94,Assumptions!$C$97:$M$97)))</f>
        <v>47891.58206</v>
      </c>
      <c r="CJ7" s="54">
        <f t="array" ref="CJ7">IF(CJ$2=1,Assumptions!$P7/12,(SUMIF($D$2:$EE$2,CJ$2-1,$D7:$EE7)/12)*(1+XLOOKUP(CJ$2,Assumptions!$C$94:$M$94,Assumptions!$C$97:$M$97)))</f>
        <v>49328.32952</v>
      </c>
      <c r="CK7" s="54">
        <f t="array" ref="CK7">IF(CK$2=1,Assumptions!$P7/12,(SUMIF($D$2:$EE$2,CK$2-1,$D7:$EE7)/12)*(1+XLOOKUP(CK$2,Assumptions!$C$94:$M$94,Assumptions!$C$97:$M$97)))</f>
        <v>49328.32952</v>
      </c>
      <c r="CL7" s="54">
        <f t="array" ref="CL7">IF(CL$2=1,Assumptions!$P7/12,(SUMIF($D$2:$EE$2,CL$2-1,$D7:$EE7)/12)*(1+XLOOKUP(CL$2,Assumptions!$C$94:$M$94,Assumptions!$C$97:$M$97)))</f>
        <v>49328.32952</v>
      </c>
      <c r="CM7" s="54">
        <f t="array" ref="CM7">IF(CM$2=1,Assumptions!$P7/12,(SUMIF($D$2:$EE$2,CM$2-1,$D7:$EE7)/12)*(1+XLOOKUP(CM$2,Assumptions!$C$94:$M$94,Assumptions!$C$97:$M$97)))</f>
        <v>49328.32952</v>
      </c>
      <c r="CN7" s="54">
        <f t="array" ref="CN7">IF(CN$2=1,Assumptions!$P7/12,(SUMIF($D$2:$EE$2,CN$2-1,$D7:$EE7)/12)*(1+XLOOKUP(CN$2,Assumptions!$C$94:$M$94,Assumptions!$C$97:$M$97)))</f>
        <v>49328.32952</v>
      </c>
      <c r="CO7" s="54">
        <f t="array" ref="CO7">IF(CO$2=1,Assumptions!$P7/12,(SUMIF($D$2:$EE$2,CO$2-1,$D7:$EE7)/12)*(1+XLOOKUP(CO$2,Assumptions!$C$94:$M$94,Assumptions!$C$97:$M$97)))</f>
        <v>49328.32952</v>
      </c>
      <c r="CP7" s="54">
        <f t="array" ref="CP7">IF(CP$2=1,Assumptions!$P7/12,(SUMIF($D$2:$EE$2,CP$2-1,$D7:$EE7)/12)*(1+XLOOKUP(CP$2,Assumptions!$C$94:$M$94,Assumptions!$C$97:$M$97)))</f>
        <v>49328.32952</v>
      </c>
      <c r="CQ7" s="54">
        <f t="array" ref="CQ7">IF(CQ$2=1,Assumptions!$P7/12,(SUMIF($D$2:$EE$2,CQ$2-1,$D7:$EE7)/12)*(1+XLOOKUP(CQ$2,Assumptions!$C$94:$M$94,Assumptions!$C$97:$M$97)))</f>
        <v>49328.32952</v>
      </c>
      <c r="CR7" s="54">
        <f t="array" ref="CR7">IF(CR$2=1,Assumptions!$P7/12,(SUMIF($D$2:$EE$2,CR$2-1,$D7:$EE7)/12)*(1+XLOOKUP(CR$2,Assumptions!$C$94:$M$94,Assumptions!$C$97:$M$97)))</f>
        <v>49328.32952</v>
      </c>
      <c r="CS7" s="54">
        <f t="array" ref="CS7">IF(CS$2=1,Assumptions!$P7/12,(SUMIF($D$2:$EE$2,CS$2-1,$D7:$EE7)/12)*(1+XLOOKUP(CS$2,Assumptions!$C$94:$M$94,Assumptions!$C$97:$M$97)))</f>
        <v>49328.32952</v>
      </c>
      <c r="CT7" s="54">
        <f t="array" ref="CT7">IF(CT$2=1,Assumptions!$P7/12,(SUMIF($D$2:$EE$2,CT$2-1,$D7:$EE7)/12)*(1+XLOOKUP(CT$2,Assumptions!$C$94:$M$94,Assumptions!$C$97:$M$97)))</f>
        <v>49328.32952</v>
      </c>
      <c r="CU7" s="54">
        <f t="array" ref="CU7">IF(CU$2=1,Assumptions!$P7/12,(SUMIF($D$2:$EE$2,CU$2-1,$D7:$EE7)/12)*(1+XLOOKUP(CU$2,Assumptions!$C$94:$M$94,Assumptions!$C$97:$M$97)))</f>
        <v>49328.32952</v>
      </c>
      <c r="CV7" s="54">
        <f t="array" ref="CV7">IF(CV$2=1,Assumptions!$P7/12,(SUMIF($D$2:$EE$2,CV$2-1,$D7:$EE7)/12)*(1+XLOOKUP(CV$2,Assumptions!$C$94:$M$94,Assumptions!$C$97:$M$97)))</f>
        <v>50808.1794</v>
      </c>
      <c r="CW7" s="54">
        <f t="array" ref="CW7">IF(CW$2=1,Assumptions!$P7/12,(SUMIF($D$2:$EE$2,CW$2-1,$D7:$EE7)/12)*(1+XLOOKUP(CW$2,Assumptions!$C$94:$M$94,Assumptions!$C$97:$M$97)))</f>
        <v>50808.1794</v>
      </c>
      <c r="CX7" s="54">
        <f t="array" ref="CX7">IF(CX$2=1,Assumptions!$P7/12,(SUMIF($D$2:$EE$2,CX$2-1,$D7:$EE7)/12)*(1+XLOOKUP(CX$2,Assumptions!$C$94:$M$94,Assumptions!$C$97:$M$97)))</f>
        <v>50808.1794</v>
      </c>
      <c r="CY7" s="54">
        <f t="array" ref="CY7">IF(CY$2=1,Assumptions!$P7/12,(SUMIF($D$2:$EE$2,CY$2-1,$D7:$EE7)/12)*(1+XLOOKUP(CY$2,Assumptions!$C$94:$M$94,Assumptions!$C$97:$M$97)))</f>
        <v>50808.1794</v>
      </c>
      <c r="CZ7" s="54">
        <f t="array" ref="CZ7">IF(CZ$2=1,Assumptions!$P7/12,(SUMIF($D$2:$EE$2,CZ$2-1,$D7:$EE7)/12)*(1+XLOOKUP(CZ$2,Assumptions!$C$94:$M$94,Assumptions!$C$97:$M$97)))</f>
        <v>50808.1794</v>
      </c>
      <c r="DA7" s="54">
        <f t="array" ref="DA7">IF(DA$2=1,Assumptions!$P7/12,(SUMIF($D$2:$EE$2,DA$2-1,$D7:$EE7)/12)*(1+XLOOKUP(DA$2,Assumptions!$C$94:$M$94,Assumptions!$C$97:$M$97)))</f>
        <v>50808.1794</v>
      </c>
      <c r="DB7" s="54">
        <f t="array" ref="DB7">IF(DB$2=1,Assumptions!$P7/12,(SUMIF($D$2:$EE$2,DB$2-1,$D7:$EE7)/12)*(1+XLOOKUP(DB$2,Assumptions!$C$94:$M$94,Assumptions!$C$97:$M$97)))</f>
        <v>50808.1794</v>
      </c>
      <c r="DC7" s="54">
        <f t="array" ref="DC7">IF(DC$2=1,Assumptions!$P7/12,(SUMIF($D$2:$EE$2,DC$2-1,$D7:$EE7)/12)*(1+XLOOKUP(DC$2,Assumptions!$C$94:$M$94,Assumptions!$C$97:$M$97)))</f>
        <v>50808.1794</v>
      </c>
      <c r="DD7" s="54">
        <f t="array" ref="DD7">IF(DD$2=1,Assumptions!$P7/12,(SUMIF($D$2:$EE$2,DD$2-1,$D7:$EE7)/12)*(1+XLOOKUP(DD$2,Assumptions!$C$94:$M$94,Assumptions!$C$97:$M$97)))</f>
        <v>50808.1794</v>
      </c>
      <c r="DE7" s="54">
        <f t="array" ref="DE7">IF(DE$2=1,Assumptions!$P7/12,(SUMIF($D$2:$EE$2,DE$2-1,$D7:$EE7)/12)*(1+XLOOKUP(DE$2,Assumptions!$C$94:$M$94,Assumptions!$C$97:$M$97)))</f>
        <v>50808.1794</v>
      </c>
      <c r="DF7" s="54">
        <f t="array" ref="DF7">IF(DF$2=1,Assumptions!$P7/12,(SUMIF($D$2:$EE$2,DF$2-1,$D7:$EE7)/12)*(1+XLOOKUP(DF$2,Assumptions!$C$94:$M$94,Assumptions!$C$97:$M$97)))</f>
        <v>50808.1794</v>
      </c>
      <c r="DG7" s="54">
        <f t="array" ref="DG7">IF(DG$2=1,Assumptions!$P7/12,(SUMIF($D$2:$EE$2,DG$2-1,$D7:$EE7)/12)*(1+XLOOKUP(DG$2,Assumptions!$C$94:$M$94,Assumptions!$C$97:$M$97)))</f>
        <v>50808.1794</v>
      </c>
      <c r="DH7" s="54">
        <f t="array" ref="DH7">IF(DH$2=1,Assumptions!$P7/12,(SUMIF($D$2:$EE$2,DH$2-1,$D7:$EE7)/12)*(1+XLOOKUP(DH$2,Assumptions!$C$94:$M$94,Assumptions!$C$97:$M$97)))</f>
        <v>52332.42479</v>
      </c>
      <c r="DI7" s="54">
        <f t="array" ref="DI7">IF(DI$2=1,Assumptions!$P7/12,(SUMIF($D$2:$EE$2,DI$2-1,$D7:$EE7)/12)*(1+XLOOKUP(DI$2,Assumptions!$C$94:$M$94,Assumptions!$C$97:$M$97)))</f>
        <v>52332.42479</v>
      </c>
      <c r="DJ7" s="54">
        <f t="array" ref="DJ7">IF(DJ$2=1,Assumptions!$P7/12,(SUMIF($D$2:$EE$2,DJ$2-1,$D7:$EE7)/12)*(1+XLOOKUP(DJ$2,Assumptions!$C$94:$M$94,Assumptions!$C$97:$M$97)))</f>
        <v>52332.42479</v>
      </c>
      <c r="DK7" s="54">
        <f t="array" ref="DK7">IF(DK$2=1,Assumptions!$P7/12,(SUMIF($D$2:$EE$2,DK$2-1,$D7:$EE7)/12)*(1+XLOOKUP(DK$2,Assumptions!$C$94:$M$94,Assumptions!$C$97:$M$97)))</f>
        <v>52332.42479</v>
      </c>
      <c r="DL7" s="54">
        <f t="array" ref="DL7">IF(DL$2=1,Assumptions!$P7/12,(SUMIF($D$2:$EE$2,DL$2-1,$D7:$EE7)/12)*(1+XLOOKUP(DL$2,Assumptions!$C$94:$M$94,Assumptions!$C$97:$M$97)))</f>
        <v>52332.42479</v>
      </c>
      <c r="DM7" s="54">
        <f t="array" ref="DM7">IF(DM$2=1,Assumptions!$P7/12,(SUMIF($D$2:$EE$2,DM$2-1,$D7:$EE7)/12)*(1+XLOOKUP(DM$2,Assumptions!$C$94:$M$94,Assumptions!$C$97:$M$97)))</f>
        <v>52332.42479</v>
      </c>
      <c r="DN7" s="54">
        <f t="array" ref="DN7">IF(DN$2=1,Assumptions!$P7/12,(SUMIF($D$2:$EE$2,DN$2-1,$D7:$EE7)/12)*(1+XLOOKUP(DN$2,Assumptions!$C$94:$M$94,Assumptions!$C$97:$M$97)))</f>
        <v>52332.42479</v>
      </c>
      <c r="DO7" s="54">
        <f t="array" ref="DO7">IF(DO$2=1,Assumptions!$P7/12,(SUMIF($D$2:$EE$2,DO$2-1,$D7:$EE7)/12)*(1+XLOOKUP(DO$2,Assumptions!$C$94:$M$94,Assumptions!$C$97:$M$97)))</f>
        <v>52332.42479</v>
      </c>
      <c r="DP7" s="54">
        <f t="array" ref="DP7">IF(DP$2=1,Assumptions!$P7/12,(SUMIF($D$2:$EE$2,DP$2-1,$D7:$EE7)/12)*(1+XLOOKUP(DP$2,Assumptions!$C$94:$M$94,Assumptions!$C$97:$M$97)))</f>
        <v>52332.42479</v>
      </c>
      <c r="DQ7" s="54">
        <f t="array" ref="DQ7">IF(DQ$2=1,Assumptions!$P7/12,(SUMIF($D$2:$EE$2,DQ$2-1,$D7:$EE7)/12)*(1+XLOOKUP(DQ$2,Assumptions!$C$94:$M$94,Assumptions!$C$97:$M$97)))</f>
        <v>52332.42479</v>
      </c>
      <c r="DR7" s="54">
        <f t="array" ref="DR7">IF(DR$2=1,Assumptions!$P7/12,(SUMIF($D$2:$EE$2,DR$2-1,$D7:$EE7)/12)*(1+XLOOKUP(DR$2,Assumptions!$C$94:$M$94,Assumptions!$C$97:$M$97)))</f>
        <v>52332.42479</v>
      </c>
      <c r="DS7" s="54">
        <f t="array" ref="DS7">IF(DS$2=1,Assumptions!$P7/12,(SUMIF($D$2:$EE$2,DS$2-1,$D7:$EE7)/12)*(1+XLOOKUP(DS$2,Assumptions!$C$94:$M$94,Assumptions!$C$97:$M$97)))</f>
        <v>52332.42479</v>
      </c>
      <c r="DT7" s="54">
        <f t="array" ref="DT7">IF(DT$2=1,Assumptions!$P7/12,(SUMIF($D$2:$EE$2,DT$2-1,$D7:$EE7)/12)*(1+XLOOKUP(DT$2,Assumptions!$C$94:$M$94,Assumptions!$C$97:$M$97)))</f>
        <v>53902.39753</v>
      </c>
      <c r="DU7" s="54">
        <f t="array" ref="DU7">IF(DU$2=1,Assumptions!$P7/12,(SUMIF($D$2:$EE$2,DU$2-1,$D7:$EE7)/12)*(1+XLOOKUP(DU$2,Assumptions!$C$94:$M$94,Assumptions!$C$97:$M$97)))</f>
        <v>53902.39753</v>
      </c>
      <c r="DV7" s="54">
        <f t="array" ref="DV7">IF(DV$2=1,Assumptions!$P7/12,(SUMIF($D$2:$EE$2,DV$2-1,$D7:$EE7)/12)*(1+XLOOKUP(DV$2,Assumptions!$C$94:$M$94,Assumptions!$C$97:$M$97)))</f>
        <v>53902.39753</v>
      </c>
      <c r="DW7" s="54">
        <f t="array" ref="DW7">IF(DW$2=1,Assumptions!$P7/12,(SUMIF($D$2:$EE$2,DW$2-1,$D7:$EE7)/12)*(1+XLOOKUP(DW$2,Assumptions!$C$94:$M$94,Assumptions!$C$97:$M$97)))</f>
        <v>53902.39753</v>
      </c>
      <c r="DX7" s="54">
        <f t="array" ref="DX7">IF(DX$2=1,Assumptions!$P7/12,(SUMIF($D$2:$EE$2,DX$2-1,$D7:$EE7)/12)*(1+XLOOKUP(DX$2,Assumptions!$C$94:$M$94,Assumptions!$C$97:$M$97)))</f>
        <v>53902.39753</v>
      </c>
      <c r="DY7" s="54">
        <f t="array" ref="DY7">IF(DY$2=1,Assumptions!$P7/12,(SUMIF($D$2:$EE$2,DY$2-1,$D7:$EE7)/12)*(1+XLOOKUP(DY$2,Assumptions!$C$94:$M$94,Assumptions!$C$97:$M$97)))</f>
        <v>53902.39753</v>
      </c>
      <c r="DZ7" s="54">
        <f t="array" ref="DZ7">IF(DZ$2=1,Assumptions!$P7/12,(SUMIF($D$2:$EE$2,DZ$2-1,$D7:$EE7)/12)*(1+XLOOKUP(DZ$2,Assumptions!$C$94:$M$94,Assumptions!$C$97:$M$97)))</f>
        <v>53902.39753</v>
      </c>
      <c r="EA7" s="54">
        <f t="array" ref="EA7">IF(EA$2=1,Assumptions!$P7/12,(SUMIF($D$2:$EE$2,EA$2-1,$D7:$EE7)/12)*(1+XLOOKUP(EA$2,Assumptions!$C$94:$M$94,Assumptions!$C$97:$M$97)))</f>
        <v>53902.39753</v>
      </c>
      <c r="EB7" s="54">
        <f t="array" ref="EB7">IF(EB$2=1,Assumptions!$P7/12,(SUMIF($D$2:$EE$2,EB$2-1,$D7:$EE7)/12)*(1+XLOOKUP(EB$2,Assumptions!$C$94:$M$94,Assumptions!$C$97:$M$97)))</f>
        <v>53902.39753</v>
      </c>
      <c r="EC7" s="54">
        <f t="array" ref="EC7">IF(EC$2=1,Assumptions!$P7/12,(SUMIF($D$2:$EE$2,EC$2-1,$D7:$EE7)/12)*(1+XLOOKUP(EC$2,Assumptions!$C$94:$M$94,Assumptions!$C$97:$M$97)))</f>
        <v>53902.39753</v>
      </c>
      <c r="ED7" s="54">
        <f t="array" ref="ED7">IF(ED$2=1,Assumptions!$P7/12,(SUMIF($D$2:$EE$2,ED$2-1,$D7:$EE7)/12)*(1+XLOOKUP(ED$2,Assumptions!$C$94:$M$94,Assumptions!$C$97:$M$97)))</f>
        <v>53902.39753</v>
      </c>
      <c r="EE7" s="54">
        <f t="array" ref="EE7">IF(EE$2=1,Assumptions!$P7/12,(SUMIF($D$2:$EE$2,EE$2-1,$D7:$EE7)/12)*(1+XLOOKUP(EE$2,Assumptions!$C$94:$M$94,Assumptions!$C$97:$M$97)))</f>
        <v>53902.39753</v>
      </c>
    </row>
    <row r="8" ht="15.75" customHeight="1">
      <c r="A8" s="1"/>
      <c r="B8" s="1"/>
      <c r="C8" s="1" t="str">
        <f>Assumptions!J8</f>
        <v>4x2</v>
      </c>
      <c r="D8" s="54">
        <f t="array" ref="D8">IF(D$2=1,Assumptions!$P8/12,(SUMIF($D$2:$EE$2,D$2-1,$D8:$EE8)/12)*(1+XLOOKUP(D$2,Assumptions!$C$94:$M$94,Assumptions!$C$97:$M$97)))</f>
        <v>19588.716</v>
      </c>
      <c r="E8" s="54">
        <f t="array" ref="E8">IF(E$2=1,Assumptions!$P8/12,(SUMIF($D$2:$EE$2,E$2-1,$D8:$EE8)/12)*(1+XLOOKUP(E$2,Assumptions!$C$94:$M$94,Assumptions!$C$97:$M$97)))</f>
        <v>19588.716</v>
      </c>
      <c r="F8" s="54">
        <f t="array" ref="F8">IF(F$2=1,Assumptions!$P8/12,(SUMIF($D$2:$EE$2,F$2-1,$D8:$EE8)/12)*(1+XLOOKUP(F$2,Assumptions!$C$94:$M$94,Assumptions!$C$97:$M$97)))</f>
        <v>19588.716</v>
      </c>
      <c r="G8" s="54">
        <f t="array" ref="G8">IF(G$2=1,Assumptions!$P8/12,(SUMIF($D$2:$EE$2,G$2-1,$D8:$EE8)/12)*(1+XLOOKUP(G$2,Assumptions!$C$94:$M$94,Assumptions!$C$97:$M$97)))</f>
        <v>19588.716</v>
      </c>
      <c r="H8" s="54">
        <f t="array" ref="H8">IF(H$2=1,Assumptions!$P8/12,(SUMIF($D$2:$EE$2,H$2-1,$D8:$EE8)/12)*(1+XLOOKUP(H$2,Assumptions!$C$94:$M$94,Assumptions!$C$97:$M$97)))</f>
        <v>19588.716</v>
      </c>
      <c r="I8" s="54">
        <f t="array" ref="I8">IF(I$2=1,Assumptions!$P8/12,(SUMIF($D$2:$EE$2,I$2-1,$D8:$EE8)/12)*(1+XLOOKUP(I$2,Assumptions!$C$94:$M$94,Assumptions!$C$97:$M$97)))</f>
        <v>19588.716</v>
      </c>
      <c r="J8" s="54">
        <f t="array" ref="J8">IF(J$2=1,Assumptions!$P8/12,(SUMIF($D$2:$EE$2,J$2-1,$D8:$EE8)/12)*(1+XLOOKUP(J$2,Assumptions!$C$94:$M$94,Assumptions!$C$97:$M$97)))</f>
        <v>19588.716</v>
      </c>
      <c r="K8" s="54">
        <f t="array" ref="K8">IF(K$2=1,Assumptions!$P8/12,(SUMIF($D$2:$EE$2,K$2-1,$D8:$EE8)/12)*(1+XLOOKUP(K$2,Assumptions!$C$94:$M$94,Assumptions!$C$97:$M$97)))</f>
        <v>19588.716</v>
      </c>
      <c r="L8" s="54">
        <f t="array" ref="L8">IF(L$2=1,Assumptions!$P8/12,(SUMIF($D$2:$EE$2,L$2-1,$D8:$EE8)/12)*(1+XLOOKUP(L$2,Assumptions!$C$94:$M$94,Assumptions!$C$97:$M$97)))</f>
        <v>19588.716</v>
      </c>
      <c r="M8" s="54">
        <f t="array" ref="M8">IF(M$2=1,Assumptions!$P8/12,(SUMIF($D$2:$EE$2,M$2-1,$D8:$EE8)/12)*(1+XLOOKUP(M$2,Assumptions!$C$94:$M$94,Assumptions!$C$97:$M$97)))</f>
        <v>19588.716</v>
      </c>
      <c r="N8" s="54">
        <f t="array" ref="N8">IF(N$2=1,Assumptions!$P8/12,(SUMIF($D$2:$EE$2,N$2-1,$D8:$EE8)/12)*(1+XLOOKUP(N$2,Assumptions!$C$94:$M$94,Assumptions!$C$97:$M$97)))</f>
        <v>19588.716</v>
      </c>
      <c r="O8" s="54">
        <f t="array" ref="O8">IF(O$2=1,Assumptions!$P8/12,(SUMIF($D$2:$EE$2,O$2-1,$D8:$EE8)/12)*(1+XLOOKUP(O$2,Assumptions!$C$94:$M$94,Assumptions!$C$97:$M$97)))</f>
        <v>19588.716</v>
      </c>
      <c r="P8" s="54">
        <f t="array" ref="P8">IF(P$2=1,Assumptions!$P8/12,(SUMIF($D$2:$EE$2,P$2-1,$D8:$EE8)/12)*(1+XLOOKUP(P$2,Assumptions!$C$94:$M$94,Assumptions!$C$97:$M$97)))</f>
        <v>20176.37748</v>
      </c>
      <c r="Q8" s="54">
        <f t="array" ref="Q8">IF(Q$2=1,Assumptions!$P8/12,(SUMIF($D$2:$EE$2,Q$2-1,$D8:$EE8)/12)*(1+XLOOKUP(Q$2,Assumptions!$C$94:$M$94,Assumptions!$C$97:$M$97)))</f>
        <v>20176.37748</v>
      </c>
      <c r="R8" s="54">
        <f t="array" ref="R8">IF(R$2=1,Assumptions!$P8/12,(SUMIF($D$2:$EE$2,R$2-1,$D8:$EE8)/12)*(1+XLOOKUP(R$2,Assumptions!$C$94:$M$94,Assumptions!$C$97:$M$97)))</f>
        <v>20176.37748</v>
      </c>
      <c r="S8" s="54">
        <f t="array" ref="S8">IF(S$2=1,Assumptions!$P8/12,(SUMIF($D$2:$EE$2,S$2-1,$D8:$EE8)/12)*(1+XLOOKUP(S$2,Assumptions!$C$94:$M$94,Assumptions!$C$97:$M$97)))</f>
        <v>20176.37748</v>
      </c>
      <c r="T8" s="54">
        <f t="array" ref="T8">IF(T$2=1,Assumptions!$P8/12,(SUMIF($D$2:$EE$2,T$2-1,$D8:$EE8)/12)*(1+XLOOKUP(T$2,Assumptions!$C$94:$M$94,Assumptions!$C$97:$M$97)))</f>
        <v>20176.37748</v>
      </c>
      <c r="U8" s="54">
        <f t="array" ref="U8">IF(U$2=1,Assumptions!$P8/12,(SUMIF($D$2:$EE$2,U$2-1,$D8:$EE8)/12)*(1+XLOOKUP(U$2,Assumptions!$C$94:$M$94,Assumptions!$C$97:$M$97)))</f>
        <v>20176.37748</v>
      </c>
      <c r="V8" s="54">
        <f t="array" ref="V8">IF(V$2=1,Assumptions!$P8/12,(SUMIF($D$2:$EE$2,V$2-1,$D8:$EE8)/12)*(1+XLOOKUP(V$2,Assumptions!$C$94:$M$94,Assumptions!$C$97:$M$97)))</f>
        <v>20176.37748</v>
      </c>
      <c r="W8" s="54">
        <f t="array" ref="W8">IF(W$2=1,Assumptions!$P8/12,(SUMIF($D$2:$EE$2,W$2-1,$D8:$EE8)/12)*(1+XLOOKUP(W$2,Assumptions!$C$94:$M$94,Assumptions!$C$97:$M$97)))</f>
        <v>20176.37748</v>
      </c>
      <c r="X8" s="54">
        <f t="array" ref="X8">IF(X$2=1,Assumptions!$P8/12,(SUMIF($D$2:$EE$2,X$2-1,$D8:$EE8)/12)*(1+XLOOKUP(X$2,Assumptions!$C$94:$M$94,Assumptions!$C$97:$M$97)))</f>
        <v>20176.37748</v>
      </c>
      <c r="Y8" s="54">
        <f t="array" ref="Y8">IF(Y$2=1,Assumptions!$P8/12,(SUMIF($D$2:$EE$2,Y$2-1,$D8:$EE8)/12)*(1+XLOOKUP(Y$2,Assumptions!$C$94:$M$94,Assumptions!$C$97:$M$97)))</f>
        <v>20176.37748</v>
      </c>
      <c r="Z8" s="54">
        <f t="array" ref="Z8">IF(Z$2=1,Assumptions!$P8/12,(SUMIF($D$2:$EE$2,Z$2-1,$D8:$EE8)/12)*(1+XLOOKUP(Z$2,Assumptions!$C$94:$M$94,Assumptions!$C$97:$M$97)))</f>
        <v>20176.37748</v>
      </c>
      <c r="AA8" s="54">
        <f t="array" ref="AA8">IF(AA$2=1,Assumptions!$P8/12,(SUMIF($D$2:$EE$2,AA$2-1,$D8:$EE8)/12)*(1+XLOOKUP(AA$2,Assumptions!$C$94:$M$94,Assumptions!$C$97:$M$97)))</f>
        <v>20176.37748</v>
      </c>
      <c r="AB8" s="54">
        <f t="array" ref="AB8">IF(AB$2=1,Assumptions!$P8/12,(SUMIF($D$2:$EE$2,AB$2-1,$D8:$EE8)/12)*(1+XLOOKUP(AB$2,Assumptions!$C$94:$M$94,Assumptions!$C$97:$M$97)))</f>
        <v>20781.6688</v>
      </c>
      <c r="AC8" s="54">
        <f t="array" ref="AC8">IF(AC$2=1,Assumptions!$P8/12,(SUMIF($D$2:$EE$2,AC$2-1,$D8:$EE8)/12)*(1+XLOOKUP(AC$2,Assumptions!$C$94:$M$94,Assumptions!$C$97:$M$97)))</f>
        <v>20781.6688</v>
      </c>
      <c r="AD8" s="54">
        <f t="array" ref="AD8">IF(AD$2=1,Assumptions!$P8/12,(SUMIF($D$2:$EE$2,AD$2-1,$D8:$EE8)/12)*(1+XLOOKUP(AD$2,Assumptions!$C$94:$M$94,Assumptions!$C$97:$M$97)))</f>
        <v>20781.6688</v>
      </c>
      <c r="AE8" s="54">
        <f t="array" ref="AE8">IF(AE$2=1,Assumptions!$P8/12,(SUMIF($D$2:$EE$2,AE$2-1,$D8:$EE8)/12)*(1+XLOOKUP(AE$2,Assumptions!$C$94:$M$94,Assumptions!$C$97:$M$97)))</f>
        <v>20781.6688</v>
      </c>
      <c r="AF8" s="54">
        <f t="array" ref="AF8">IF(AF$2=1,Assumptions!$P8/12,(SUMIF($D$2:$EE$2,AF$2-1,$D8:$EE8)/12)*(1+XLOOKUP(AF$2,Assumptions!$C$94:$M$94,Assumptions!$C$97:$M$97)))</f>
        <v>20781.6688</v>
      </c>
      <c r="AG8" s="54">
        <f t="array" ref="AG8">IF(AG$2=1,Assumptions!$P8/12,(SUMIF($D$2:$EE$2,AG$2-1,$D8:$EE8)/12)*(1+XLOOKUP(AG$2,Assumptions!$C$94:$M$94,Assumptions!$C$97:$M$97)))</f>
        <v>20781.6688</v>
      </c>
      <c r="AH8" s="54">
        <f t="array" ref="AH8">IF(AH$2=1,Assumptions!$P8/12,(SUMIF($D$2:$EE$2,AH$2-1,$D8:$EE8)/12)*(1+XLOOKUP(AH$2,Assumptions!$C$94:$M$94,Assumptions!$C$97:$M$97)))</f>
        <v>20781.6688</v>
      </c>
      <c r="AI8" s="54">
        <f t="array" ref="AI8">IF(AI$2=1,Assumptions!$P8/12,(SUMIF($D$2:$EE$2,AI$2-1,$D8:$EE8)/12)*(1+XLOOKUP(AI$2,Assumptions!$C$94:$M$94,Assumptions!$C$97:$M$97)))</f>
        <v>20781.6688</v>
      </c>
      <c r="AJ8" s="54">
        <f t="array" ref="AJ8">IF(AJ$2=1,Assumptions!$P8/12,(SUMIF($D$2:$EE$2,AJ$2-1,$D8:$EE8)/12)*(1+XLOOKUP(AJ$2,Assumptions!$C$94:$M$94,Assumptions!$C$97:$M$97)))</f>
        <v>20781.6688</v>
      </c>
      <c r="AK8" s="54">
        <f t="array" ref="AK8">IF(AK$2=1,Assumptions!$P8/12,(SUMIF($D$2:$EE$2,AK$2-1,$D8:$EE8)/12)*(1+XLOOKUP(AK$2,Assumptions!$C$94:$M$94,Assumptions!$C$97:$M$97)))</f>
        <v>20781.6688</v>
      </c>
      <c r="AL8" s="54">
        <f t="array" ref="AL8">IF(AL$2=1,Assumptions!$P8/12,(SUMIF($D$2:$EE$2,AL$2-1,$D8:$EE8)/12)*(1+XLOOKUP(AL$2,Assumptions!$C$94:$M$94,Assumptions!$C$97:$M$97)))</f>
        <v>20781.6688</v>
      </c>
      <c r="AM8" s="54">
        <f t="array" ref="AM8">IF(AM$2=1,Assumptions!$P8/12,(SUMIF($D$2:$EE$2,AM$2-1,$D8:$EE8)/12)*(1+XLOOKUP(AM$2,Assumptions!$C$94:$M$94,Assumptions!$C$97:$M$97)))</f>
        <v>20781.6688</v>
      </c>
      <c r="AN8" s="54">
        <f t="array" ref="AN8">IF(AN$2=1,Assumptions!$P8/12,(SUMIF($D$2:$EE$2,AN$2-1,$D8:$EE8)/12)*(1+XLOOKUP(AN$2,Assumptions!$C$94:$M$94,Assumptions!$C$97:$M$97)))</f>
        <v>21405.11887</v>
      </c>
      <c r="AO8" s="54">
        <f t="array" ref="AO8">IF(AO$2=1,Assumptions!$P8/12,(SUMIF($D$2:$EE$2,AO$2-1,$D8:$EE8)/12)*(1+XLOOKUP(AO$2,Assumptions!$C$94:$M$94,Assumptions!$C$97:$M$97)))</f>
        <v>21405.11887</v>
      </c>
      <c r="AP8" s="54">
        <f t="array" ref="AP8">IF(AP$2=1,Assumptions!$P8/12,(SUMIF($D$2:$EE$2,AP$2-1,$D8:$EE8)/12)*(1+XLOOKUP(AP$2,Assumptions!$C$94:$M$94,Assumptions!$C$97:$M$97)))</f>
        <v>21405.11887</v>
      </c>
      <c r="AQ8" s="54">
        <f t="array" ref="AQ8">IF(AQ$2=1,Assumptions!$P8/12,(SUMIF($D$2:$EE$2,AQ$2-1,$D8:$EE8)/12)*(1+XLOOKUP(AQ$2,Assumptions!$C$94:$M$94,Assumptions!$C$97:$M$97)))</f>
        <v>21405.11887</v>
      </c>
      <c r="AR8" s="54">
        <f t="array" ref="AR8">IF(AR$2=1,Assumptions!$P8/12,(SUMIF($D$2:$EE$2,AR$2-1,$D8:$EE8)/12)*(1+XLOOKUP(AR$2,Assumptions!$C$94:$M$94,Assumptions!$C$97:$M$97)))</f>
        <v>21405.11887</v>
      </c>
      <c r="AS8" s="54">
        <f t="array" ref="AS8">IF(AS$2=1,Assumptions!$P8/12,(SUMIF($D$2:$EE$2,AS$2-1,$D8:$EE8)/12)*(1+XLOOKUP(AS$2,Assumptions!$C$94:$M$94,Assumptions!$C$97:$M$97)))</f>
        <v>21405.11887</v>
      </c>
      <c r="AT8" s="54">
        <f t="array" ref="AT8">IF(AT$2=1,Assumptions!$P8/12,(SUMIF($D$2:$EE$2,AT$2-1,$D8:$EE8)/12)*(1+XLOOKUP(AT$2,Assumptions!$C$94:$M$94,Assumptions!$C$97:$M$97)))</f>
        <v>21405.11887</v>
      </c>
      <c r="AU8" s="54">
        <f t="array" ref="AU8">IF(AU$2=1,Assumptions!$P8/12,(SUMIF($D$2:$EE$2,AU$2-1,$D8:$EE8)/12)*(1+XLOOKUP(AU$2,Assumptions!$C$94:$M$94,Assumptions!$C$97:$M$97)))</f>
        <v>21405.11887</v>
      </c>
      <c r="AV8" s="54">
        <f t="array" ref="AV8">IF(AV$2=1,Assumptions!$P8/12,(SUMIF($D$2:$EE$2,AV$2-1,$D8:$EE8)/12)*(1+XLOOKUP(AV$2,Assumptions!$C$94:$M$94,Assumptions!$C$97:$M$97)))</f>
        <v>21405.11887</v>
      </c>
      <c r="AW8" s="54">
        <f t="array" ref="AW8">IF(AW$2=1,Assumptions!$P8/12,(SUMIF($D$2:$EE$2,AW$2-1,$D8:$EE8)/12)*(1+XLOOKUP(AW$2,Assumptions!$C$94:$M$94,Assumptions!$C$97:$M$97)))</f>
        <v>21405.11887</v>
      </c>
      <c r="AX8" s="54">
        <f t="array" ref="AX8">IF(AX$2=1,Assumptions!$P8/12,(SUMIF($D$2:$EE$2,AX$2-1,$D8:$EE8)/12)*(1+XLOOKUP(AX$2,Assumptions!$C$94:$M$94,Assumptions!$C$97:$M$97)))</f>
        <v>21405.11887</v>
      </c>
      <c r="AY8" s="54">
        <f t="array" ref="AY8">IF(AY$2=1,Assumptions!$P8/12,(SUMIF($D$2:$EE$2,AY$2-1,$D8:$EE8)/12)*(1+XLOOKUP(AY$2,Assumptions!$C$94:$M$94,Assumptions!$C$97:$M$97)))</f>
        <v>21405.11887</v>
      </c>
      <c r="AZ8" s="54">
        <f t="array" ref="AZ8">IF(AZ$2=1,Assumptions!$P8/12,(SUMIF($D$2:$EE$2,AZ$2-1,$D8:$EE8)/12)*(1+XLOOKUP(AZ$2,Assumptions!$C$94:$M$94,Assumptions!$C$97:$M$97)))</f>
        <v>22047.27243</v>
      </c>
      <c r="BA8" s="54">
        <f t="array" ref="BA8">IF(BA$2=1,Assumptions!$P8/12,(SUMIF($D$2:$EE$2,BA$2-1,$D8:$EE8)/12)*(1+XLOOKUP(BA$2,Assumptions!$C$94:$M$94,Assumptions!$C$97:$M$97)))</f>
        <v>22047.27243</v>
      </c>
      <c r="BB8" s="54">
        <f t="array" ref="BB8">IF(BB$2=1,Assumptions!$P8/12,(SUMIF($D$2:$EE$2,BB$2-1,$D8:$EE8)/12)*(1+XLOOKUP(BB$2,Assumptions!$C$94:$M$94,Assumptions!$C$97:$M$97)))</f>
        <v>22047.27243</v>
      </c>
      <c r="BC8" s="54">
        <f t="array" ref="BC8">IF(BC$2=1,Assumptions!$P8/12,(SUMIF($D$2:$EE$2,BC$2-1,$D8:$EE8)/12)*(1+XLOOKUP(BC$2,Assumptions!$C$94:$M$94,Assumptions!$C$97:$M$97)))</f>
        <v>22047.27243</v>
      </c>
      <c r="BD8" s="54">
        <f t="array" ref="BD8">IF(BD$2=1,Assumptions!$P8/12,(SUMIF($D$2:$EE$2,BD$2-1,$D8:$EE8)/12)*(1+XLOOKUP(BD$2,Assumptions!$C$94:$M$94,Assumptions!$C$97:$M$97)))</f>
        <v>22047.27243</v>
      </c>
      <c r="BE8" s="54">
        <f t="array" ref="BE8">IF(BE$2=1,Assumptions!$P8/12,(SUMIF($D$2:$EE$2,BE$2-1,$D8:$EE8)/12)*(1+XLOOKUP(BE$2,Assumptions!$C$94:$M$94,Assumptions!$C$97:$M$97)))</f>
        <v>22047.27243</v>
      </c>
      <c r="BF8" s="54">
        <f t="array" ref="BF8">IF(BF$2=1,Assumptions!$P8/12,(SUMIF($D$2:$EE$2,BF$2-1,$D8:$EE8)/12)*(1+XLOOKUP(BF$2,Assumptions!$C$94:$M$94,Assumptions!$C$97:$M$97)))</f>
        <v>22047.27243</v>
      </c>
      <c r="BG8" s="54">
        <f t="array" ref="BG8">IF(BG$2=1,Assumptions!$P8/12,(SUMIF($D$2:$EE$2,BG$2-1,$D8:$EE8)/12)*(1+XLOOKUP(BG$2,Assumptions!$C$94:$M$94,Assumptions!$C$97:$M$97)))</f>
        <v>22047.27243</v>
      </c>
      <c r="BH8" s="54">
        <f t="array" ref="BH8">IF(BH$2=1,Assumptions!$P8/12,(SUMIF($D$2:$EE$2,BH$2-1,$D8:$EE8)/12)*(1+XLOOKUP(BH$2,Assumptions!$C$94:$M$94,Assumptions!$C$97:$M$97)))</f>
        <v>22047.27243</v>
      </c>
      <c r="BI8" s="54">
        <f t="array" ref="BI8">IF(BI$2=1,Assumptions!$P8/12,(SUMIF($D$2:$EE$2,BI$2-1,$D8:$EE8)/12)*(1+XLOOKUP(BI$2,Assumptions!$C$94:$M$94,Assumptions!$C$97:$M$97)))</f>
        <v>22047.27243</v>
      </c>
      <c r="BJ8" s="54">
        <f t="array" ref="BJ8">IF(BJ$2=1,Assumptions!$P8/12,(SUMIF($D$2:$EE$2,BJ$2-1,$D8:$EE8)/12)*(1+XLOOKUP(BJ$2,Assumptions!$C$94:$M$94,Assumptions!$C$97:$M$97)))</f>
        <v>22047.27243</v>
      </c>
      <c r="BK8" s="54">
        <f t="array" ref="BK8">IF(BK$2=1,Assumptions!$P8/12,(SUMIF($D$2:$EE$2,BK$2-1,$D8:$EE8)/12)*(1+XLOOKUP(BK$2,Assumptions!$C$94:$M$94,Assumptions!$C$97:$M$97)))</f>
        <v>22047.27243</v>
      </c>
      <c r="BL8" s="54">
        <f t="array" ref="BL8">IF(BL$2=1,Assumptions!$P8/12,(SUMIF($D$2:$EE$2,BL$2-1,$D8:$EE8)/12)*(1+XLOOKUP(BL$2,Assumptions!$C$94:$M$94,Assumptions!$C$97:$M$97)))</f>
        <v>22708.69061</v>
      </c>
      <c r="BM8" s="54">
        <f t="array" ref="BM8">IF(BM$2=1,Assumptions!$P8/12,(SUMIF($D$2:$EE$2,BM$2-1,$D8:$EE8)/12)*(1+XLOOKUP(BM$2,Assumptions!$C$94:$M$94,Assumptions!$C$97:$M$97)))</f>
        <v>22708.69061</v>
      </c>
      <c r="BN8" s="54">
        <f t="array" ref="BN8">IF(BN$2=1,Assumptions!$P8/12,(SUMIF($D$2:$EE$2,BN$2-1,$D8:$EE8)/12)*(1+XLOOKUP(BN$2,Assumptions!$C$94:$M$94,Assumptions!$C$97:$M$97)))</f>
        <v>22708.69061</v>
      </c>
      <c r="BO8" s="54">
        <f t="array" ref="BO8">IF(BO$2=1,Assumptions!$P8/12,(SUMIF($D$2:$EE$2,BO$2-1,$D8:$EE8)/12)*(1+XLOOKUP(BO$2,Assumptions!$C$94:$M$94,Assumptions!$C$97:$M$97)))</f>
        <v>22708.69061</v>
      </c>
      <c r="BP8" s="54">
        <f t="array" ref="BP8">IF(BP$2=1,Assumptions!$P8/12,(SUMIF($D$2:$EE$2,BP$2-1,$D8:$EE8)/12)*(1+XLOOKUP(BP$2,Assumptions!$C$94:$M$94,Assumptions!$C$97:$M$97)))</f>
        <v>22708.69061</v>
      </c>
      <c r="BQ8" s="54">
        <f t="array" ref="BQ8">IF(BQ$2=1,Assumptions!$P8/12,(SUMIF($D$2:$EE$2,BQ$2-1,$D8:$EE8)/12)*(1+XLOOKUP(BQ$2,Assumptions!$C$94:$M$94,Assumptions!$C$97:$M$97)))</f>
        <v>22708.69061</v>
      </c>
      <c r="BR8" s="54">
        <f t="array" ref="BR8">IF(BR$2=1,Assumptions!$P8/12,(SUMIF($D$2:$EE$2,BR$2-1,$D8:$EE8)/12)*(1+XLOOKUP(BR$2,Assumptions!$C$94:$M$94,Assumptions!$C$97:$M$97)))</f>
        <v>22708.69061</v>
      </c>
      <c r="BS8" s="54">
        <f t="array" ref="BS8">IF(BS$2=1,Assumptions!$P8/12,(SUMIF($D$2:$EE$2,BS$2-1,$D8:$EE8)/12)*(1+XLOOKUP(BS$2,Assumptions!$C$94:$M$94,Assumptions!$C$97:$M$97)))</f>
        <v>22708.69061</v>
      </c>
      <c r="BT8" s="54">
        <f t="array" ref="BT8">IF(BT$2=1,Assumptions!$P8/12,(SUMIF($D$2:$EE$2,BT$2-1,$D8:$EE8)/12)*(1+XLOOKUP(BT$2,Assumptions!$C$94:$M$94,Assumptions!$C$97:$M$97)))</f>
        <v>22708.69061</v>
      </c>
      <c r="BU8" s="54">
        <f t="array" ref="BU8">IF(BU$2=1,Assumptions!$P8/12,(SUMIF($D$2:$EE$2,BU$2-1,$D8:$EE8)/12)*(1+XLOOKUP(BU$2,Assumptions!$C$94:$M$94,Assumptions!$C$97:$M$97)))</f>
        <v>22708.69061</v>
      </c>
      <c r="BV8" s="54">
        <f t="array" ref="BV8">IF(BV$2=1,Assumptions!$P8/12,(SUMIF($D$2:$EE$2,BV$2-1,$D8:$EE8)/12)*(1+XLOOKUP(BV$2,Assumptions!$C$94:$M$94,Assumptions!$C$97:$M$97)))</f>
        <v>22708.69061</v>
      </c>
      <c r="BW8" s="54">
        <f t="array" ref="BW8">IF(BW$2=1,Assumptions!$P8/12,(SUMIF($D$2:$EE$2,BW$2-1,$D8:$EE8)/12)*(1+XLOOKUP(BW$2,Assumptions!$C$94:$M$94,Assumptions!$C$97:$M$97)))</f>
        <v>22708.69061</v>
      </c>
      <c r="BX8" s="54">
        <f t="array" ref="BX8">IF(BX$2=1,Assumptions!$P8/12,(SUMIF($D$2:$EE$2,BX$2-1,$D8:$EE8)/12)*(1+XLOOKUP(BX$2,Assumptions!$C$94:$M$94,Assumptions!$C$97:$M$97)))</f>
        <v>23389.95133</v>
      </c>
      <c r="BY8" s="54">
        <f t="array" ref="BY8">IF(BY$2=1,Assumptions!$P8/12,(SUMIF($D$2:$EE$2,BY$2-1,$D8:$EE8)/12)*(1+XLOOKUP(BY$2,Assumptions!$C$94:$M$94,Assumptions!$C$97:$M$97)))</f>
        <v>23389.95133</v>
      </c>
      <c r="BZ8" s="54">
        <f t="array" ref="BZ8">IF(BZ$2=1,Assumptions!$P8/12,(SUMIF($D$2:$EE$2,BZ$2-1,$D8:$EE8)/12)*(1+XLOOKUP(BZ$2,Assumptions!$C$94:$M$94,Assumptions!$C$97:$M$97)))</f>
        <v>23389.95133</v>
      </c>
      <c r="CA8" s="54">
        <f t="array" ref="CA8">IF(CA$2=1,Assumptions!$P8/12,(SUMIF($D$2:$EE$2,CA$2-1,$D8:$EE8)/12)*(1+XLOOKUP(CA$2,Assumptions!$C$94:$M$94,Assumptions!$C$97:$M$97)))</f>
        <v>23389.95133</v>
      </c>
      <c r="CB8" s="54">
        <f t="array" ref="CB8">IF(CB$2=1,Assumptions!$P8/12,(SUMIF($D$2:$EE$2,CB$2-1,$D8:$EE8)/12)*(1+XLOOKUP(CB$2,Assumptions!$C$94:$M$94,Assumptions!$C$97:$M$97)))</f>
        <v>23389.95133</v>
      </c>
      <c r="CC8" s="54">
        <f t="array" ref="CC8">IF(CC$2=1,Assumptions!$P8/12,(SUMIF($D$2:$EE$2,CC$2-1,$D8:$EE8)/12)*(1+XLOOKUP(CC$2,Assumptions!$C$94:$M$94,Assumptions!$C$97:$M$97)))</f>
        <v>23389.95133</v>
      </c>
      <c r="CD8" s="54">
        <f t="array" ref="CD8">IF(CD$2=1,Assumptions!$P8/12,(SUMIF($D$2:$EE$2,CD$2-1,$D8:$EE8)/12)*(1+XLOOKUP(CD$2,Assumptions!$C$94:$M$94,Assumptions!$C$97:$M$97)))</f>
        <v>23389.95133</v>
      </c>
      <c r="CE8" s="54">
        <f t="array" ref="CE8">IF(CE$2=1,Assumptions!$P8/12,(SUMIF($D$2:$EE$2,CE$2-1,$D8:$EE8)/12)*(1+XLOOKUP(CE$2,Assumptions!$C$94:$M$94,Assumptions!$C$97:$M$97)))</f>
        <v>23389.95133</v>
      </c>
      <c r="CF8" s="54">
        <f t="array" ref="CF8">IF(CF$2=1,Assumptions!$P8/12,(SUMIF($D$2:$EE$2,CF$2-1,$D8:$EE8)/12)*(1+XLOOKUP(CF$2,Assumptions!$C$94:$M$94,Assumptions!$C$97:$M$97)))</f>
        <v>23389.95133</v>
      </c>
      <c r="CG8" s="54">
        <f t="array" ref="CG8">IF(CG$2=1,Assumptions!$P8/12,(SUMIF($D$2:$EE$2,CG$2-1,$D8:$EE8)/12)*(1+XLOOKUP(CG$2,Assumptions!$C$94:$M$94,Assumptions!$C$97:$M$97)))</f>
        <v>23389.95133</v>
      </c>
      <c r="CH8" s="54">
        <f t="array" ref="CH8">IF(CH$2=1,Assumptions!$P8/12,(SUMIF($D$2:$EE$2,CH$2-1,$D8:$EE8)/12)*(1+XLOOKUP(CH$2,Assumptions!$C$94:$M$94,Assumptions!$C$97:$M$97)))</f>
        <v>23389.95133</v>
      </c>
      <c r="CI8" s="54">
        <f t="array" ref="CI8">IF(CI$2=1,Assumptions!$P8/12,(SUMIF($D$2:$EE$2,CI$2-1,$D8:$EE8)/12)*(1+XLOOKUP(CI$2,Assumptions!$C$94:$M$94,Assumptions!$C$97:$M$97)))</f>
        <v>23389.95133</v>
      </c>
      <c r="CJ8" s="54">
        <f t="array" ref="CJ8">IF(CJ$2=1,Assumptions!$P8/12,(SUMIF($D$2:$EE$2,CJ$2-1,$D8:$EE8)/12)*(1+XLOOKUP(CJ$2,Assumptions!$C$94:$M$94,Assumptions!$C$97:$M$97)))</f>
        <v>24091.64987</v>
      </c>
      <c r="CK8" s="54">
        <f t="array" ref="CK8">IF(CK$2=1,Assumptions!$P8/12,(SUMIF($D$2:$EE$2,CK$2-1,$D8:$EE8)/12)*(1+XLOOKUP(CK$2,Assumptions!$C$94:$M$94,Assumptions!$C$97:$M$97)))</f>
        <v>24091.64987</v>
      </c>
      <c r="CL8" s="54">
        <f t="array" ref="CL8">IF(CL$2=1,Assumptions!$P8/12,(SUMIF($D$2:$EE$2,CL$2-1,$D8:$EE8)/12)*(1+XLOOKUP(CL$2,Assumptions!$C$94:$M$94,Assumptions!$C$97:$M$97)))</f>
        <v>24091.64987</v>
      </c>
      <c r="CM8" s="54">
        <f t="array" ref="CM8">IF(CM$2=1,Assumptions!$P8/12,(SUMIF($D$2:$EE$2,CM$2-1,$D8:$EE8)/12)*(1+XLOOKUP(CM$2,Assumptions!$C$94:$M$94,Assumptions!$C$97:$M$97)))</f>
        <v>24091.64987</v>
      </c>
      <c r="CN8" s="54">
        <f t="array" ref="CN8">IF(CN$2=1,Assumptions!$P8/12,(SUMIF($D$2:$EE$2,CN$2-1,$D8:$EE8)/12)*(1+XLOOKUP(CN$2,Assumptions!$C$94:$M$94,Assumptions!$C$97:$M$97)))</f>
        <v>24091.64987</v>
      </c>
      <c r="CO8" s="54">
        <f t="array" ref="CO8">IF(CO$2=1,Assumptions!$P8/12,(SUMIF($D$2:$EE$2,CO$2-1,$D8:$EE8)/12)*(1+XLOOKUP(CO$2,Assumptions!$C$94:$M$94,Assumptions!$C$97:$M$97)))</f>
        <v>24091.64987</v>
      </c>
      <c r="CP8" s="54">
        <f t="array" ref="CP8">IF(CP$2=1,Assumptions!$P8/12,(SUMIF($D$2:$EE$2,CP$2-1,$D8:$EE8)/12)*(1+XLOOKUP(CP$2,Assumptions!$C$94:$M$94,Assumptions!$C$97:$M$97)))</f>
        <v>24091.64987</v>
      </c>
      <c r="CQ8" s="54">
        <f t="array" ref="CQ8">IF(CQ$2=1,Assumptions!$P8/12,(SUMIF($D$2:$EE$2,CQ$2-1,$D8:$EE8)/12)*(1+XLOOKUP(CQ$2,Assumptions!$C$94:$M$94,Assumptions!$C$97:$M$97)))</f>
        <v>24091.64987</v>
      </c>
      <c r="CR8" s="54">
        <f t="array" ref="CR8">IF(CR$2=1,Assumptions!$P8/12,(SUMIF($D$2:$EE$2,CR$2-1,$D8:$EE8)/12)*(1+XLOOKUP(CR$2,Assumptions!$C$94:$M$94,Assumptions!$C$97:$M$97)))</f>
        <v>24091.64987</v>
      </c>
      <c r="CS8" s="54">
        <f t="array" ref="CS8">IF(CS$2=1,Assumptions!$P8/12,(SUMIF($D$2:$EE$2,CS$2-1,$D8:$EE8)/12)*(1+XLOOKUP(CS$2,Assumptions!$C$94:$M$94,Assumptions!$C$97:$M$97)))</f>
        <v>24091.64987</v>
      </c>
      <c r="CT8" s="54">
        <f t="array" ref="CT8">IF(CT$2=1,Assumptions!$P8/12,(SUMIF($D$2:$EE$2,CT$2-1,$D8:$EE8)/12)*(1+XLOOKUP(CT$2,Assumptions!$C$94:$M$94,Assumptions!$C$97:$M$97)))</f>
        <v>24091.64987</v>
      </c>
      <c r="CU8" s="54">
        <f t="array" ref="CU8">IF(CU$2=1,Assumptions!$P8/12,(SUMIF($D$2:$EE$2,CU$2-1,$D8:$EE8)/12)*(1+XLOOKUP(CU$2,Assumptions!$C$94:$M$94,Assumptions!$C$97:$M$97)))</f>
        <v>24091.64987</v>
      </c>
      <c r="CV8" s="54">
        <f t="array" ref="CV8">IF(CV$2=1,Assumptions!$P8/12,(SUMIF($D$2:$EE$2,CV$2-1,$D8:$EE8)/12)*(1+XLOOKUP(CV$2,Assumptions!$C$94:$M$94,Assumptions!$C$97:$M$97)))</f>
        <v>24814.39936</v>
      </c>
      <c r="CW8" s="54">
        <f t="array" ref="CW8">IF(CW$2=1,Assumptions!$P8/12,(SUMIF($D$2:$EE$2,CW$2-1,$D8:$EE8)/12)*(1+XLOOKUP(CW$2,Assumptions!$C$94:$M$94,Assumptions!$C$97:$M$97)))</f>
        <v>24814.39936</v>
      </c>
      <c r="CX8" s="54">
        <f t="array" ref="CX8">IF(CX$2=1,Assumptions!$P8/12,(SUMIF($D$2:$EE$2,CX$2-1,$D8:$EE8)/12)*(1+XLOOKUP(CX$2,Assumptions!$C$94:$M$94,Assumptions!$C$97:$M$97)))</f>
        <v>24814.39936</v>
      </c>
      <c r="CY8" s="54">
        <f t="array" ref="CY8">IF(CY$2=1,Assumptions!$P8/12,(SUMIF($D$2:$EE$2,CY$2-1,$D8:$EE8)/12)*(1+XLOOKUP(CY$2,Assumptions!$C$94:$M$94,Assumptions!$C$97:$M$97)))</f>
        <v>24814.39936</v>
      </c>
      <c r="CZ8" s="54">
        <f t="array" ref="CZ8">IF(CZ$2=1,Assumptions!$P8/12,(SUMIF($D$2:$EE$2,CZ$2-1,$D8:$EE8)/12)*(1+XLOOKUP(CZ$2,Assumptions!$C$94:$M$94,Assumptions!$C$97:$M$97)))</f>
        <v>24814.39936</v>
      </c>
      <c r="DA8" s="54">
        <f t="array" ref="DA8">IF(DA$2=1,Assumptions!$P8/12,(SUMIF($D$2:$EE$2,DA$2-1,$D8:$EE8)/12)*(1+XLOOKUP(DA$2,Assumptions!$C$94:$M$94,Assumptions!$C$97:$M$97)))</f>
        <v>24814.39936</v>
      </c>
      <c r="DB8" s="54">
        <f t="array" ref="DB8">IF(DB$2=1,Assumptions!$P8/12,(SUMIF($D$2:$EE$2,DB$2-1,$D8:$EE8)/12)*(1+XLOOKUP(DB$2,Assumptions!$C$94:$M$94,Assumptions!$C$97:$M$97)))</f>
        <v>24814.39936</v>
      </c>
      <c r="DC8" s="54">
        <f t="array" ref="DC8">IF(DC$2=1,Assumptions!$P8/12,(SUMIF($D$2:$EE$2,DC$2-1,$D8:$EE8)/12)*(1+XLOOKUP(DC$2,Assumptions!$C$94:$M$94,Assumptions!$C$97:$M$97)))</f>
        <v>24814.39936</v>
      </c>
      <c r="DD8" s="54">
        <f t="array" ref="DD8">IF(DD$2=1,Assumptions!$P8/12,(SUMIF($D$2:$EE$2,DD$2-1,$D8:$EE8)/12)*(1+XLOOKUP(DD$2,Assumptions!$C$94:$M$94,Assumptions!$C$97:$M$97)))</f>
        <v>24814.39936</v>
      </c>
      <c r="DE8" s="54">
        <f t="array" ref="DE8">IF(DE$2=1,Assumptions!$P8/12,(SUMIF($D$2:$EE$2,DE$2-1,$D8:$EE8)/12)*(1+XLOOKUP(DE$2,Assumptions!$C$94:$M$94,Assumptions!$C$97:$M$97)))</f>
        <v>24814.39936</v>
      </c>
      <c r="DF8" s="54">
        <f t="array" ref="DF8">IF(DF$2=1,Assumptions!$P8/12,(SUMIF($D$2:$EE$2,DF$2-1,$D8:$EE8)/12)*(1+XLOOKUP(DF$2,Assumptions!$C$94:$M$94,Assumptions!$C$97:$M$97)))</f>
        <v>24814.39936</v>
      </c>
      <c r="DG8" s="54">
        <f t="array" ref="DG8">IF(DG$2=1,Assumptions!$P8/12,(SUMIF($D$2:$EE$2,DG$2-1,$D8:$EE8)/12)*(1+XLOOKUP(DG$2,Assumptions!$C$94:$M$94,Assumptions!$C$97:$M$97)))</f>
        <v>24814.39936</v>
      </c>
      <c r="DH8" s="54">
        <f t="array" ref="DH8">IF(DH$2=1,Assumptions!$P8/12,(SUMIF($D$2:$EE$2,DH$2-1,$D8:$EE8)/12)*(1+XLOOKUP(DH$2,Assumptions!$C$94:$M$94,Assumptions!$C$97:$M$97)))</f>
        <v>25558.83134</v>
      </c>
      <c r="DI8" s="54">
        <f t="array" ref="DI8">IF(DI$2=1,Assumptions!$P8/12,(SUMIF($D$2:$EE$2,DI$2-1,$D8:$EE8)/12)*(1+XLOOKUP(DI$2,Assumptions!$C$94:$M$94,Assumptions!$C$97:$M$97)))</f>
        <v>25558.83134</v>
      </c>
      <c r="DJ8" s="54">
        <f t="array" ref="DJ8">IF(DJ$2=1,Assumptions!$P8/12,(SUMIF($D$2:$EE$2,DJ$2-1,$D8:$EE8)/12)*(1+XLOOKUP(DJ$2,Assumptions!$C$94:$M$94,Assumptions!$C$97:$M$97)))</f>
        <v>25558.83134</v>
      </c>
      <c r="DK8" s="54">
        <f t="array" ref="DK8">IF(DK$2=1,Assumptions!$P8/12,(SUMIF($D$2:$EE$2,DK$2-1,$D8:$EE8)/12)*(1+XLOOKUP(DK$2,Assumptions!$C$94:$M$94,Assumptions!$C$97:$M$97)))</f>
        <v>25558.83134</v>
      </c>
      <c r="DL8" s="54">
        <f t="array" ref="DL8">IF(DL$2=1,Assumptions!$P8/12,(SUMIF($D$2:$EE$2,DL$2-1,$D8:$EE8)/12)*(1+XLOOKUP(DL$2,Assumptions!$C$94:$M$94,Assumptions!$C$97:$M$97)))</f>
        <v>25558.83134</v>
      </c>
      <c r="DM8" s="54">
        <f t="array" ref="DM8">IF(DM$2=1,Assumptions!$P8/12,(SUMIF($D$2:$EE$2,DM$2-1,$D8:$EE8)/12)*(1+XLOOKUP(DM$2,Assumptions!$C$94:$M$94,Assumptions!$C$97:$M$97)))</f>
        <v>25558.83134</v>
      </c>
      <c r="DN8" s="54">
        <f t="array" ref="DN8">IF(DN$2=1,Assumptions!$P8/12,(SUMIF($D$2:$EE$2,DN$2-1,$D8:$EE8)/12)*(1+XLOOKUP(DN$2,Assumptions!$C$94:$M$94,Assumptions!$C$97:$M$97)))</f>
        <v>25558.83134</v>
      </c>
      <c r="DO8" s="54">
        <f t="array" ref="DO8">IF(DO$2=1,Assumptions!$P8/12,(SUMIF($D$2:$EE$2,DO$2-1,$D8:$EE8)/12)*(1+XLOOKUP(DO$2,Assumptions!$C$94:$M$94,Assumptions!$C$97:$M$97)))</f>
        <v>25558.83134</v>
      </c>
      <c r="DP8" s="54">
        <f t="array" ref="DP8">IF(DP$2=1,Assumptions!$P8/12,(SUMIF($D$2:$EE$2,DP$2-1,$D8:$EE8)/12)*(1+XLOOKUP(DP$2,Assumptions!$C$94:$M$94,Assumptions!$C$97:$M$97)))</f>
        <v>25558.83134</v>
      </c>
      <c r="DQ8" s="54">
        <f t="array" ref="DQ8">IF(DQ$2=1,Assumptions!$P8/12,(SUMIF($D$2:$EE$2,DQ$2-1,$D8:$EE8)/12)*(1+XLOOKUP(DQ$2,Assumptions!$C$94:$M$94,Assumptions!$C$97:$M$97)))</f>
        <v>25558.83134</v>
      </c>
      <c r="DR8" s="54">
        <f t="array" ref="DR8">IF(DR$2=1,Assumptions!$P8/12,(SUMIF($D$2:$EE$2,DR$2-1,$D8:$EE8)/12)*(1+XLOOKUP(DR$2,Assumptions!$C$94:$M$94,Assumptions!$C$97:$M$97)))</f>
        <v>25558.83134</v>
      </c>
      <c r="DS8" s="54">
        <f t="array" ref="DS8">IF(DS$2=1,Assumptions!$P8/12,(SUMIF($D$2:$EE$2,DS$2-1,$D8:$EE8)/12)*(1+XLOOKUP(DS$2,Assumptions!$C$94:$M$94,Assumptions!$C$97:$M$97)))</f>
        <v>25558.83134</v>
      </c>
      <c r="DT8" s="54">
        <f t="array" ref="DT8">IF(DT$2=1,Assumptions!$P8/12,(SUMIF($D$2:$EE$2,DT$2-1,$D8:$EE8)/12)*(1+XLOOKUP(DT$2,Assumptions!$C$94:$M$94,Assumptions!$C$97:$M$97)))</f>
        <v>26325.59628</v>
      </c>
      <c r="DU8" s="54">
        <f t="array" ref="DU8">IF(DU$2=1,Assumptions!$P8/12,(SUMIF($D$2:$EE$2,DU$2-1,$D8:$EE8)/12)*(1+XLOOKUP(DU$2,Assumptions!$C$94:$M$94,Assumptions!$C$97:$M$97)))</f>
        <v>26325.59628</v>
      </c>
      <c r="DV8" s="54">
        <f t="array" ref="DV8">IF(DV$2=1,Assumptions!$P8/12,(SUMIF($D$2:$EE$2,DV$2-1,$D8:$EE8)/12)*(1+XLOOKUP(DV$2,Assumptions!$C$94:$M$94,Assumptions!$C$97:$M$97)))</f>
        <v>26325.59628</v>
      </c>
      <c r="DW8" s="54">
        <f t="array" ref="DW8">IF(DW$2=1,Assumptions!$P8/12,(SUMIF($D$2:$EE$2,DW$2-1,$D8:$EE8)/12)*(1+XLOOKUP(DW$2,Assumptions!$C$94:$M$94,Assumptions!$C$97:$M$97)))</f>
        <v>26325.59628</v>
      </c>
      <c r="DX8" s="54">
        <f t="array" ref="DX8">IF(DX$2=1,Assumptions!$P8/12,(SUMIF($D$2:$EE$2,DX$2-1,$D8:$EE8)/12)*(1+XLOOKUP(DX$2,Assumptions!$C$94:$M$94,Assumptions!$C$97:$M$97)))</f>
        <v>26325.59628</v>
      </c>
      <c r="DY8" s="54">
        <f t="array" ref="DY8">IF(DY$2=1,Assumptions!$P8/12,(SUMIF($D$2:$EE$2,DY$2-1,$D8:$EE8)/12)*(1+XLOOKUP(DY$2,Assumptions!$C$94:$M$94,Assumptions!$C$97:$M$97)))</f>
        <v>26325.59628</v>
      </c>
      <c r="DZ8" s="54">
        <f t="array" ref="DZ8">IF(DZ$2=1,Assumptions!$P8/12,(SUMIF($D$2:$EE$2,DZ$2-1,$D8:$EE8)/12)*(1+XLOOKUP(DZ$2,Assumptions!$C$94:$M$94,Assumptions!$C$97:$M$97)))</f>
        <v>26325.59628</v>
      </c>
      <c r="EA8" s="54">
        <f t="array" ref="EA8">IF(EA$2=1,Assumptions!$P8/12,(SUMIF($D$2:$EE$2,EA$2-1,$D8:$EE8)/12)*(1+XLOOKUP(EA$2,Assumptions!$C$94:$M$94,Assumptions!$C$97:$M$97)))</f>
        <v>26325.59628</v>
      </c>
      <c r="EB8" s="54">
        <f t="array" ref="EB8">IF(EB$2=1,Assumptions!$P8/12,(SUMIF($D$2:$EE$2,EB$2-1,$D8:$EE8)/12)*(1+XLOOKUP(EB$2,Assumptions!$C$94:$M$94,Assumptions!$C$97:$M$97)))</f>
        <v>26325.59628</v>
      </c>
      <c r="EC8" s="54">
        <f t="array" ref="EC8">IF(EC$2=1,Assumptions!$P8/12,(SUMIF($D$2:$EE$2,EC$2-1,$D8:$EE8)/12)*(1+XLOOKUP(EC$2,Assumptions!$C$94:$M$94,Assumptions!$C$97:$M$97)))</f>
        <v>26325.59628</v>
      </c>
      <c r="ED8" s="54">
        <f t="array" ref="ED8">IF(ED$2=1,Assumptions!$P8/12,(SUMIF($D$2:$EE$2,ED$2-1,$D8:$EE8)/12)*(1+XLOOKUP(ED$2,Assumptions!$C$94:$M$94,Assumptions!$C$97:$M$97)))</f>
        <v>26325.59628</v>
      </c>
      <c r="EE8" s="54">
        <f t="array" ref="EE8">IF(EE$2=1,Assumptions!$P8/12,(SUMIF($D$2:$EE$2,EE$2-1,$D8:$EE8)/12)*(1+XLOOKUP(EE$2,Assumptions!$C$94:$M$94,Assumptions!$C$97:$M$97)))</f>
        <v>26325.59628</v>
      </c>
    </row>
    <row r="9" ht="15.75" customHeight="1">
      <c r="A9" s="1"/>
      <c r="B9" s="1"/>
      <c r="C9" s="1" t="str">
        <f>Assumptions!J9</f>
        <v>4x3</v>
      </c>
      <c r="D9" s="54">
        <f t="array" ref="D9">IF(D$2=1,Assumptions!$P9/12,(SUMIF($D$2:$EE$2,D$2-1,$D9:$EE9)/12)*(1+XLOOKUP(D$2,Assumptions!$C$94:$M$94,Assumptions!$C$97:$M$97)))</f>
        <v>27448.848</v>
      </c>
      <c r="E9" s="54">
        <f t="array" ref="E9">IF(E$2=1,Assumptions!$P9/12,(SUMIF($D$2:$EE$2,E$2-1,$D9:$EE9)/12)*(1+XLOOKUP(E$2,Assumptions!$C$94:$M$94,Assumptions!$C$97:$M$97)))</f>
        <v>27448.848</v>
      </c>
      <c r="F9" s="54">
        <f t="array" ref="F9">IF(F$2=1,Assumptions!$P9/12,(SUMIF($D$2:$EE$2,F$2-1,$D9:$EE9)/12)*(1+XLOOKUP(F$2,Assumptions!$C$94:$M$94,Assumptions!$C$97:$M$97)))</f>
        <v>27448.848</v>
      </c>
      <c r="G9" s="54">
        <f t="array" ref="G9">IF(G$2=1,Assumptions!$P9/12,(SUMIF($D$2:$EE$2,G$2-1,$D9:$EE9)/12)*(1+XLOOKUP(G$2,Assumptions!$C$94:$M$94,Assumptions!$C$97:$M$97)))</f>
        <v>27448.848</v>
      </c>
      <c r="H9" s="54">
        <f t="array" ref="H9">IF(H$2=1,Assumptions!$P9/12,(SUMIF($D$2:$EE$2,H$2-1,$D9:$EE9)/12)*(1+XLOOKUP(H$2,Assumptions!$C$94:$M$94,Assumptions!$C$97:$M$97)))</f>
        <v>27448.848</v>
      </c>
      <c r="I9" s="54">
        <f t="array" ref="I9">IF(I$2=1,Assumptions!$P9/12,(SUMIF($D$2:$EE$2,I$2-1,$D9:$EE9)/12)*(1+XLOOKUP(I$2,Assumptions!$C$94:$M$94,Assumptions!$C$97:$M$97)))</f>
        <v>27448.848</v>
      </c>
      <c r="J9" s="54">
        <f t="array" ref="J9">IF(J$2=1,Assumptions!$P9/12,(SUMIF($D$2:$EE$2,J$2-1,$D9:$EE9)/12)*(1+XLOOKUP(J$2,Assumptions!$C$94:$M$94,Assumptions!$C$97:$M$97)))</f>
        <v>27448.848</v>
      </c>
      <c r="K9" s="54">
        <f t="array" ref="K9">IF(K$2=1,Assumptions!$P9/12,(SUMIF($D$2:$EE$2,K$2-1,$D9:$EE9)/12)*(1+XLOOKUP(K$2,Assumptions!$C$94:$M$94,Assumptions!$C$97:$M$97)))</f>
        <v>27448.848</v>
      </c>
      <c r="L9" s="54">
        <f t="array" ref="L9">IF(L$2=1,Assumptions!$P9/12,(SUMIF($D$2:$EE$2,L$2-1,$D9:$EE9)/12)*(1+XLOOKUP(L$2,Assumptions!$C$94:$M$94,Assumptions!$C$97:$M$97)))</f>
        <v>27448.848</v>
      </c>
      <c r="M9" s="54">
        <f t="array" ref="M9">IF(M$2=1,Assumptions!$P9/12,(SUMIF($D$2:$EE$2,M$2-1,$D9:$EE9)/12)*(1+XLOOKUP(M$2,Assumptions!$C$94:$M$94,Assumptions!$C$97:$M$97)))</f>
        <v>27448.848</v>
      </c>
      <c r="N9" s="54">
        <f t="array" ref="N9">IF(N$2=1,Assumptions!$P9/12,(SUMIF($D$2:$EE$2,N$2-1,$D9:$EE9)/12)*(1+XLOOKUP(N$2,Assumptions!$C$94:$M$94,Assumptions!$C$97:$M$97)))</f>
        <v>27448.848</v>
      </c>
      <c r="O9" s="54">
        <f t="array" ref="O9">IF(O$2=1,Assumptions!$P9/12,(SUMIF($D$2:$EE$2,O$2-1,$D9:$EE9)/12)*(1+XLOOKUP(O$2,Assumptions!$C$94:$M$94,Assumptions!$C$97:$M$97)))</f>
        <v>27448.848</v>
      </c>
      <c r="P9" s="54">
        <f t="array" ref="P9">IF(P$2=1,Assumptions!$P9/12,(SUMIF($D$2:$EE$2,P$2-1,$D9:$EE9)/12)*(1+XLOOKUP(P$2,Assumptions!$C$94:$M$94,Assumptions!$C$97:$M$97)))</f>
        <v>28272.31344</v>
      </c>
      <c r="Q9" s="54">
        <f t="array" ref="Q9">IF(Q$2=1,Assumptions!$P9/12,(SUMIF($D$2:$EE$2,Q$2-1,$D9:$EE9)/12)*(1+XLOOKUP(Q$2,Assumptions!$C$94:$M$94,Assumptions!$C$97:$M$97)))</f>
        <v>28272.31344</v>
      </c>
      <c r="R9" s="54">
        <f t="array" ref="R9">IF(R$2=1,Assumptions!$P9/12,(SUMIF($D$2:$EE$2,R$2-1,$D9:$EE9)/12)*(1+XLOOKUP(R$2,Assumptions!$C$94:$M$94,Assumptions!$C$97:$M$97)))</f>
        <v>28272.31344</v>
      </c>
      <c r="S9" s="54">
        <f t="array" ref="S9">IF(S$2=1,Assumptions!$P9/12,(SUMIF($D$2:$EE$2,S$2-1,$D9:$EE9)/12)*(1+XLOOKUP(S$2,Assumptions!$C$94:$M$94,Assumptions!$C$97:$M$97)))</f>
        <v>28272.31344</v>
      </c>
      <c r="T9" s="54">
        <f t="array" ref="T9">IF(T$2=1,Assumptions!$P9/12,(SUMIF($D$2:$EE$2,T$2-1,$D9:$EE9)/12)*(1+XLOOKUP(T$2,Assumptions!$C$94:$M$94,Assumptions!$C$97:$M$97)))</f>
        <v>28272.31344</v>
      </c>
      <c r="U9" s="54">
        <f t="array" ref="U9">IF(U$2=1,Assumptions!$P9/12,(SUMIF($D$2:$EE$2,U$2-1,$D9:$EE9)/12)*(1+XLOOKUP(U$2,Assumptions!$C$94:$M$94,Assumptions!$C$97:$M$97)))</f>
        <v>28272.31344</v>
      </c>
      <c r="V9" s="54">
        <f t="array" ref="V9">IF(V$2=1,Assumptions!$P9/12,(SUMIF($D$2:$EE$2,V$2-1,$D9:$EE9)/12)*(1+XLOOKUP(V$2,Assumptions!$C$94:$M$94,Assumptions!$C$97:$M$97)))</f>
        <v>28272.31344</v>
      </c>
      <c r="W9" s="54">
        <f t="array" ref="W9">IF(W$2=1,Assumptions!$P9/12,(SUMIF($D$2:$EE$2,W$2-1,$D9:$EE9)/12)*(1+XLOOKUP(W$2,Assumptions!$C$94:$M$94,Assumptions!$C$97:$M$97)))</f>
        <v>28272.31344</v>
      </c>
      <c r="X9" s="54">
        <f t="array" ref="X9">IF(X$2=1,Assumptions!$P9/12,(SUMIF($D$2:$EE$2,X$2-1,$D9:$EE9)/12)*(1+XLOOKUP(X$2,Assumptions!$C$94:$M$94,Assumptions!$C$97:$M$97)))</f>
        <v>28272.31344</v>
      </c>
      <c r="Y9" s="54">
        <f t="array" ref="Y9">IF(Y$2=1,Assumptions!$P9/12,(SUMIF($D$2:$EE$2,Y$2-1,$D9:$EE9)/12)*(1+XLOOKUP(Y$2,Assumptions!$C$94:$M$94,Assumptions!$C$97:$M$97)))</f>
        <v>28272.31344</v>
      </c>
      <c r="Z9" s="54">
        <f t="array" ref="Z9">IF(Z$2=1,Assumptions!$P9/12,(SUMIF($D$2:$EE$2,Z$2-1,$D9:$EE9)/12)*(1+XLOOKUP(Z$2,Assumptions!$C$94:$M$94,Assumptions!$C$97:$M$97)))</f>
        <v>28272.31344</v>
      </c>
      <c r="AA9" s="54">
        <f t="array" ref="AA9">IF(AA$2=1,Assumptions!$P9/12,(SUMIF($D$2:$EE$2,AA$2-1,$D9:$EE9)/12)*(1+XLOOKUP(AA$2,Assumptions!$C$94:$M$94,Assumptions!$C$97:$M$97)))</f>
        <v>28272.31344</v>
      </c>
      <c r="AB9" s="54">
        <f t="array" ref="AB9">IF(AB$2=1,Assumptions!$P9/12,(SUMIF($D$2:$EE$2,AB$2-1,$D9:$EE9)/12)*(1+XLOOKUP(AB$2,Assumptions!$C$94:$M$94,Assumptions!$C$97:$M$97)))</f>
        <v>29120.48284</v>
      </c>
      <c r="AC9" s="54">
        <f t="array" ref="AC9">IF(AC$2=1,Assumptions!$P9/12,(SUMIF($D$2:$EE$2,AC$2-1,$D9:$EE9)/12)*(1+XLOOKUP(AC$2,Assumptions!$C$94:$M$94,Assumptions!$C$97:$M$97)))</f>
        <v>29120.48284</v>
      </c>
      <c r="AD9" s="54">
        <f t="array" ref="AD9">IF(AD$2=1,Assumptions!$P9/12,(SUMIF($D$2:$EE$2,AD$2-1,$D9:$EE9)/12)*(1+XLOOKUP(AD$2,Assumptions!$C$94:$M$94,Assumptions!$C$97:$M$97)))</f>
        <v>29120.48284</v>
      </c>
      <c r="AE9" s="54">
        <f t="array" ref="AE9">IF(AE$2=1,Assumptions!$P9/12,(SUMIF($D$2:$EE$2,AE$2-1,$D9:$EE9)/12)*(1+XLOOKUP(AE$2,Assumptions!$C$94:$M$94,Assumptions!$C$97:$M$97)))</f>
        <v>29120.48284</v>
      </c>
      <c r="AF9" s="54">
        <f t="array" ref="AF9">IF(AF$2=1,Assumptions!$P9/12,(SUMIF($D$2:$EE$2,AF$2-1,$D9:$EE9)/12)*(1+XLOOKUP(AF$2,Assumptions!$C$94:$M$94,Assumptions!$C$97:$M$97)))</f>
        <v>29120.48284</v>
      </c>
      <c r="AG9" s="54">
        <f t="array" ref="AG9">IF(AG$2=1,Assumptions!$P9/12,(SUMIF($D$2:$EE$2,AG$2-1,$D9:$EE9)/12)*(1+XLOOKUP(AG$2,Assumptions!$C$94:$M$94,Assumptions!$C$97:$M$97)))</f>
        <v>29120.48284</v>
      </c>
      <c r="AH9" s="54">
        <f t="array" ref="AH9">IF(AH$2=1,Assumptions!$P9/12,(SUMIF($D$2:$EE$2,AH$2-1,$D9:$EE9)/12)*(1+XLOOKUP(AH$2,Assumptions!$C$94:$M$94,Assumptions!$C$97:$M$97)))</f>
        <v>29120.48284</v>
      </c>
      <c r="AI9" s="54">
        <f t="array" ref="AI9">IF(AI$2=1,Assumptions!$P9/12,(SUMIF($D$2:$EE$2,AI$2-1,$D9:$EE9)/12)*(1+XLOOKUP(AI$2,Assumptions!$C$94:$M$94,Assumptions!$C$97:$M$97)))</f>
        <v>29120.48284</v>
      </c>
      <c r="AJ9" s="54">
        <f t="array" ref="AJ9">IF(AJ$2=1,Assumptions!$P9/12,(SUMIF($D$2:$EE$2,AJ$2-1,$D9:$EE9)/12)*(1+XLOOKUP(AJ$2,Assumptions!$C$94:$M$94,Assumptions!$C$97:$M$97)))</f>
        <v>29120.48284</v>
      </c>
      <c r="AK9" s="54">
        <f t="array" ref="AK9">IF(AK$2=1,Assumptions!$P9/12,(SUMIF($D$2:$EE$2,AK$2-1,$D9:$EE9)/12)*(1+XLOOKUP(AK$2,Assumptions!$C$94:$M$94,Assumptions!$C$97:$M$97)))</f>
        <v>29120.48284</v>
      </c>
      <c r="AL9" s="54">
        <f t="array" ref="AL9">IF(AL$2=1,Assumptions!$P9/12,(SUMIF($D$2:$EE$2,AL$2-1,$D9:$EE9)/12)*(1+XLOOKUP(AL$2,Assumptions!$C$94:$M$94,Assumptions!$C$97:$M$97)))</f>
        <v>29120.48284</v>
      </c>
      <c r="AM9" s="54">
        <f t="array" ref="AM9">IF(AM$2=1,Assumptions!$P9/12,(SUMIF($D$2:$EE$2,AM$2-1,$D9:$EE9)/12)*(1+XLOOKUP(AM$2,Assumptions!$C$94:$M$94,Assumptions!$C$97:$M$97)))</f>
        <v>29120.48284</v>
      </c>
      <c r="AN9" s="54">
        <f t="array" ref="AN9">IF(AN$2=1,Assumptions!$P9/12,(SUMIF($D$2:$EE$2,AN$2-1,$D9:$EE9)/12)*(1+XLOOKUP(AN$2,Assumptions!$C$94:$M$94,Assumptions!$C$97:$M$97)))</f>
        <v>29994.09733</v>
      </c>
      <c r="AO9" s="54">
        <f t="array" ref="AO9">IF(AO$2=1,Assumptions!$P9/12,(SUMIF($D$2:$EE$2,AO$2-1,$D9:$EE9)/12)*(1+XLOOKUP(AO$2,Assumptions!$C$94:$M$94,Assumptions!$C$97:$M$97)))</f>
        <v>29994.09733</v>
      </c>
      <c r="AP9" s="54">
        <f t="array" ref="AP9">IF(AP$2=1,Assumptions!$P9/12,(SUMIF($D$2:$EE$2,AP$2-1,$D9:$EE9)/12)*(1+XLOOKUP(AP$2,Assumptions!$C$94:$M$94,Assumptions!$C$97:$M$97)))</f>
        <v>29994.09733</v>
      </c>
      <c r="AQ9" s="54">
        <f t="array" ref="AQ9">IF(AQ$2=1,Assumptions!$P9/12,(SUMIF($D$2:$EE$2,AQ$2-1,$D9:$EE9)/12)*(1+XLOOKUP(AQ$2,Assumptions!$C$94:$M$94,Assumptions!$C$97:$M$97)))</f>
        <v>29994.09733</v>
      </c>
      <c r="AR9" s="54">
        <f t="array" ref="AR9">IF(AR$2=1,Assumptions!$P9/12,(SUMIF($D$2:$EE$2,AR$2-1,$D9:$EE9)/12)*(1+XLOOKUP(AR$2,Assumptions!$C$94:$M$94,Assumptions!$C$97:$M$97)))</f>
        <v>29994.09733</v>
      </c>
      <c r="AS9" s="54">
        <f t="array" ref="AS9">IF(AS$2=1,Assumptions!$P9/12,(SUMIF($D$2:$EE$2,AS$2-1,$D9:$EE9)/12)*(1+XLOOKUP(AS$2,Assumptions!$C$94:$M$94,Assumptions!$C$97:$M$97)))</f>
        <v>29994.09733</v>
      </c>
      <c r="AT9" s="54">
        <f t="array" ref="AT9">IF(AT$2=1,Assumptions!$P9/12,(SUMIF($D$2:$EE$2,AT$2-1,$D9:$EE9)/12)*(1+XLOOKUP(AT$2,Assumptions!$C$94:$M$94,Assumptions!$C$97:$M$97)))</f>
        <v>29994.09733</v>
      </c>
      <c r="AU9" s="54">
        <f t="array" ref="AU9">IF(AU$2=1,Assumptions!$P9/12,(SUMIF($D$2:$EE$2,AU$2-1,$D9:$EE9)/12)*(1+XLOOKUP(AU$2,Assumptions!$C$94:$M$94,Assumptions!$C$97:$M$97)))</f>
        <v>29994.09733</v>
      </c>
      <c r="AV9" s="54">
        <f t="array" ref="AV9">IF(AV$2=1,Assumptions!$P9/12,(SUMIF($D$2:$EE$2,AV$2-1,$D9:$EE9)/12)*(1+XLOOKUP(AV$2,Assumptions!$C$94:$M$94,Assumptions!$C$97:$M$97)))</f>
        <v>29994.09733</v>
      </c>
      <c r="AW9" s="54">
        <f t="array" ref="AW9">IF(AW$2=1,Assumptions!$P9/12,(SUMIF($D$2:$EE$2,AW$2-1,$D9:$EE9)/12)*(1+XLOOKUP(AW$2,Assumptions!$C$94:$M$94,Assumptions!$C$97:$M$97)))</f>
        <v>29994.09733</v>
      </c>
      <c r="AX9" s="54">
        <f t="array" ref="AX9">IF(AX$2=1,Assumptions!$P9/12,(SUMIF($D$2:$EE$2,AX$2-1,$D9:$EE9)/12)*(1+XLOOKUP(AX$2,Assumptions!$C$94:$M$94,Assumptions!$C$97:$M$97)))</f>
        <v>29994.09733</v>
      </c>
      <c r="AY9" s="54">
        <f t="array" ref="AY9">IF(AY$2=1,Assumptions!$P9/12,(SUMIF($D$2:$EE$2,AY$2-1,$D9:$EE9)/12)*(1+XLOOKUP(AY$2,Assumptions!$C$94:$M$94,Assumptions!$C$97:$M$97)))</f>
        <v>29994.09733</v>
      </c>
      <c r="AZ9" s="54">
        <f t="array" ref="AZ9">IF(AZ$2=1,Assumptions!$P9/12,(SUMIF($D$2:$EE$2,AZ$2-1,$D9:$EE9)/12)*(1+XLOOKUP(AZ$2,Assumptions!$C$94:$M$94,Assumptions!$C$97:$M$97)))</f>
        <v>30893.92025</v>
      </c>
      <c r="BA9" s="54">
        <f t="array" ref="BA9">IF(BA$2=1,Assumptions!$P9/12,(SUMIF($D$2:$EE$2,BA$2-1,$D9:$EE9)/12)*(1+XLOOKUP(BA$2,Assumptions!$C$94:$M$94,Assumptions!$C$97:$M$97)))</f>
        <v>30893.92025</v>
      </c>
      <c r="BB9" s="54">
        <f t="array" ref="BB9">IF(BB$2=1,Assumptions!$P9/12,(SUMIF($D$2:$EE$2,BB$2-1,$D9:$EE9)/12)*(1+XLOOKUP(BB$2,Assumptions!$C$94:$M$94,Assumptions!$C$97:$M$97)))</f>
        <v>30893.92025</v>
      </c>
      <c r="BC9" s="54">
        <f t="array" ref="BC9">IF(BC$2=1,Assumptions!$P9/12,(SUMIF($D$2:$EE$2,BC$2-1,$D9:$EE9)/12)*(1+XLOOKUP(BC$2,Assumptions!$C$94:$M$94,Assumptions!$C$97:$M$97)))</f>
        <v>30893.92025</v>
      </c>
      <c r="BD9" s="54">
        <f t="array" ref="BD9">IF(BD$2=1,Assumptions!$P9/12,(SUMIF($D$2:$EE$2,BD$2-1,$D9:$EE9)/12)*(1+XLOOKUP(BD$2,Assumptions!$C$94:$M$94,Assumptions!$C$97:$M$97)))</f>
        <v>30893.92025</v>
      </c>
      <c r="BE9" s="54">
        <f t="array" ref="BE9">IF(BE$2=1,Assumptions!$P9/12,(SUMIF($D$2:$EE$2,BE$2-1,$D9:$EE9)/12)*(1+XLOOKUP(BE$2,Assumptions!$C$94:$M$94,Assumptions!$C$97:$M$97)))</f>
        <v>30893.92025</v>
      </c>
      <c r="BF9" s="54">
        <f t="array" ref="BF9">IF(BF$2=1,Assumptions!$P9/12,(SUMIF($D$2:$EE$2,BF$2-1,$D9:$EE9)/12)*(1+XLOOKUP(BF$2,Assumptions!$C$94:$M$94,Assumptions!$C$97:$M$97)))</f>
        <v>30893.92025</v>
      </c>
      <c r="BG9" s="54">
        <f t="array" ref="BG9">IF(BG$2=1,Assumptions!$P9/12,(SUMIF($D$2:$EE$2,BG$2-1,$D9:$EE9)/12)*(1+XLOOKUP(BG$2,Assumptions!$C$94:$M$94,Assumptions!$C$97:$M$97)))</f>
        <v>30893.92025</v>
      </c>
      <c r="BH9" s="54">
        <f t="array" ref="BH9">IF(BH$2=1,Assumptions!$P9/12,(SUMIF($D$2:$EE$2,BH$2-1,$D9:$EE9)/12)*(1+XLOOKUP(BH$2,Assumptions!$C$94:$M$94,Assumptions!$C$97:$M$97)))</f>
        <v>30893.92025</v>
      </c>
      <c r="BI9" s="54">
        <f t="array" ref="BI9">IF(BI$2=1,Assumptions!$P9/12,(SUMIF($D$2:$EE$2,BI$2-1,$D9:$EE9)/12)*(1+XLOOKUP(BI$2,Assumptions!$C$94:$M$94,Assumptions!$C$97:$M$97)))</f>
        <v>30893.92025</v>
      </c>
      <c r="BJ9" s="54">
        <f t="array" ref="BJ9">IF(BJ$2=1,Assumptions!$P9/12,(SUMIF($D$2:$EE$2,BJ$2-1,$D9:$EE9)/12)*(1+XLOOKUP(BJ$2,Assumptions!$C$94:$M$94,Assumptions!$C$97:$M$97)))</f>
        <v>30893.92025</v>
      </c>
      <c r="BK9" s="54">
        <f t="array" ref="BK9">IF(BK$2=1,Assumptions!$P9/12,(SUMIF($D$2:$EE$2,BK$2-1,$D9:$EE9)/12)*(1+XLOOKUP(BK$2,Assumptions!$C$94:$M$94,Assumptions!$C$97:$M$97)))</f>
        <v>30893.92025</v>
      </c>
      <c r="BL9" s="54">
        <f t="array" ref="BL9">IF(BL$2=1,Assumptions!$P9/12,(SUMIF($D$2:$EE$2,BL$2-1,$D9:$EE9)/12)*(1+XLOOKUP(BL$2,Assumptions!$C$94:$M$94,Assumptions!$C$97:$M$97)))</f>
        <v>31820.73786</v>
      </c>
      <c r="BM9" s="54">
        <f t="array" ref="BM9">IF(BM$2=1,Assumptions!$P9/12,(SUMIF($D$2:$EE$2,BM$2-1,$D9:$EE9)/12)*(1+XLOOKUP(BM$2,Assumptions!$C$94:$M$94,Assumptions!$C$97:$M$97)))</f>
        <v>31820.73786</v>
      </c>
      <c r="BN9" s="54">
        <f t="array" ref="BN9">IF(BN$2=1,Assumptions!$P9/12,(SUMIF($D$2:$EE$2,BN$2-1,$D9:$EE9)/12)*(1+XLOOKUP(BN$2,Assumptions!$C$94:$M$94,Assumptions!$C$97:$M$97)))</f>
        <v>31820.73786</v>
      </c>
      <c r="BO9" s="54">
        <f t="array" ref="BO9">IF(BO$2=1,Assumptions!$P9/12,(SUMIF($D$2:$EE$2,BO$2-1,$D9:$EE9)/12)*(1+XLOOKUP(BO$2,Assumptions!$C$94:$M$94,Assumptions!$C$97:$M$97)))</f>
        <v>31820.73786</v>
      </c>
      <c r="BP9" s="54">
        <f t="array" ref="BP9">IF(BP$2=1,Assumptions!$P9/12,(SUMIF($D$2:$EE$2,BP$2-1,$D9:$EE9)/12)*(1+XLOOKUP(BP$2,Assumptions!$C$94:$M$94,Assumptions!$C$97:$M$97)))</f>
        <v>31820.73786</v>
      </c>
      <c r="BQ9" s="54">
        <f t="array" ref="BQ9">IF(BQ$2=1,Assumptions!$P9/12,(SUMIF($D$2:$EE$2,BQ$2-1,$D9:$EE9)/12)*(1+XLOOKUP(BQ$2,Assumptions!$C$94:$M$94,Assumptions!$C$97:$M$97)))</f>
        <v>31820.73786</v>
      </c>
      <c r="BR9" s="54">
        <f t="array" ref="BR9">IF(BR$2=1,Assumptions!$P9/12,(SUMIF($D$2:$EE$2,BR$2-1,$D9:$EE9)/12)*(1+XLOOKUP(BR$2,Assumptions!$C$94:$M$94,Assumptions!$C$97:$M$97)))</f>
        <v>31820.73786</v>
      </c>
      <c r="BS9" s="54">
        <f t="array" ref="BS9">IF(BS$2=1,Assumptions!$P9/12,(SUMIF($D$2:$EE$2,BS$2-1,$D9:$EE9)/12)*(1+XLOOKUP(BS$2,Assumptions!$C$94:$M$94,Assumptions!$C$97:$M$97)))</f>
        <v>31820.73786</v>
      </c>
      <c r="BT9" s="54">
        <f t="array" ref="BT9">IF(BT$2=1,Assumptions!$P9/12,(SUMIF($D$2:$EE$2,BT$2-1,$D9:$EE9)/12)*(1+XLOOKUP(BT$2,Assumptions!$C$94:$M$94,Assumptions!$C$97:$M$97)))</f>
        <v>31820.73786</v>
      </c>
      <c r="BU9" s="54">
        <f t="array" ref="BU9">IF(BU$2=1,Assumptions!$P9/12,(SUMIF($D$2:$EE$2,BU$2-1,$D9:$EE9)/12)*(1+XLOOKUP(BU$2,Assumptions!$C$94:$M$94,Assumptions!$C$97:$M$97)))</f>
        <v>31820.73786</v>
      </c>
      <c r="BV9" s="54">
        <f t="array" ref="BV9">IF(BV$2=1,Assumptions!$P9/12,(SUMIF($D$2:$EE$2,BV$2-1,$D9:$EE9)/12)*(1+XLOOKUP(BV$2,Assumptions!$C$94:$M$94,Assumptions!$C$97:$M$97)))</f>
        <v>31820.73786</v>
      </c>
      <c r="BW9" s="54">
        <f t="array" ref="BW9">IF(BW$2=1,Assumptions!$P9/12,(SUMIF($D$2:$EE$2,BW$2-1,$D9:$EE9)/12)*(1+XLOOKUP(BW$2,Assumptions!$C$94:$M$94,Assumptions!$C$97:$M$97)))</f>
        <v>31820.73786</v>
      </c>
      <c r="BX9" s="54">
        <f t="array" ref="BX9">IF(BX$2=1,Assumptions!$P9/12,(SUMIF($D$2:$EE$2,BX$2-1,$D9:$EE9)/12)*(1+XLOOKUP(BX$2,Assumptions!$C$94:$M$94,Assumptions!$C$97:$M$97)))</f>
        <v>32775.35999</v>
      </c>
      <c r="BY9" s="54">
        <f t="array" ref="BY9">IF(BY$2=1,Assumptions!$P9/12,(SUMIF($D$2:$EE$2,BY$2-1,$D9:$EE9)/12)*(1+XLOOKUP(BY$2,Assumptions!$C$94:$M$94,Assumptions!$C$97:$M$97)))</f>
        <v>32775.35999</v>
      </c>
      <c r="BZ9" s="54">
        <f t="array" ref="BZ9">IF(BZ$2=1,Assumptions!$P9/12,(SUMIF($D$2:$EE$2,BZ$2-1,$D9:$EE9)/12)*(1+XLOOKUP(BZ$2,Assumptions!$C$94:$M$94,Assumptions!$C$97:$M$97)))</f>
        <v>32775.35999</v>
      </c>
      <c r="CA9" s="54">
        <f t="array" ref="CA9">IF(CA$2=1,Assumptions!$P9/12,(SUMIF($D$2:$EE$2,CA$2-1,$D9:$EE9)/12)*(1+XLOOKUP(CA$2,Assumptions!$C$94:$M$94,Assumptions!$C$97:$M$97)))</f>
        <v>32775.35999</v>
      </c>
      <c r="CB9" s="54">
        <f t="array" ref="CB9">IF(CB$2=1,Assumptions!$P9/12,(SUMIF($D$2:$EE$2,CB$2-1,$D9:$EE9)/12)*(1+XLOOKUP(CB$2,Assumptions!$C$94:$M$94,Assumptions!$C$97:$M$97)))</f>
        <v>32775.35999</v>
      </c>
      <c r="CC9" s="54">
        <f t="array" ref="CC9">IF(CC$2=1,Assumptions!$P9/12,(SUMIF($D$2:$EE$2,CC$2-1,$D9:$EE9)/12)*(1+XLOOKUP(CC$2,Assumptions!$C$94:$M$94,Assumptions!$C$97:$M$97)))</f>
        <v>32775.35999</v>
      </c>
      <c r="CD9" s="54">
        <f t="array" ref="CD9">IF(CD$2=1,Assumptions!$P9/12,(SUMIF($D$2:$EE$2,CD$2-1,$D9:$EE9)/12)*(1+XLOOKUP(CD$2,Assumptions!$C$94:$M$94,Assumptions!$C$97:$M$97)))</f>
        <v>32775.35999</v>
      </c>
      <c r="CE9" s="54">
        <f t="array" ref="CE9">IF(CE$2=1,Assumptions!$P9/12,(SUMIF($D$2:$EE$2,CE$2-1,$D9:$EE9)/12)*(1+XLOOKUP(CE$2,Assumptions!$C$94:$M$94,Assumptions!$C$97:$M$97)))</f>
        <v>32775.35999</v>
      </c>
      <c r="CF9" s="54">
        <f t="array" ref="CF9">IF(CF$2=1,Assumptions!$P9/12,(SUMIF($D$2:$EE$2,CF$2-1,$D9:$EE9)/12)*(1+XLOOKUP(CF$2,Assumptions!$C$94:$M$94,Assumptions!$C$97:$M$97)))</f>
        <v>32775.35999</v>
      </c>
      <c r="CG9" s="54">
        <f t="array" ref="CG9">IF(CG$2=1,Assumptions!$P9/12,(SUMIF($D$2:$EE$2,CG$2-1,$D9:$EE9)/12)*(1+XLOOKUP(CG$2,Assumptions!$C$94:$M$94,Assumptions!$C$97:$M$97)))</f>
        <v>32775.35999</v>
      </c>
      <c r="CH9" s="54">
        <f t="array" ref="CH9">IF(CH$2=1,Assumptions!$P9/12,(SUMIF($D$2:$EE$2,CH$2-1,$D9:$EE9)/12)*(1+XLOOKUP(CH$2,Assumptions!$C$94:$M$94,Assumptions!$C$97:$M$97)))</f>
        <v>32775.35999</v>
      </c>
      <c r="CI9" s="54">
        <f t="array" ref="CI9">IF(CI$2=1,Assumptions!$P9/12,(SUMIF($D$2:$EE$2,CI$2-1,$D9:$EE9)/12)*(1+XLOOKUP(CI$2,Assumptions!$C$94:$M$94,Assumptions!$C$97:$M$97)))</f>
        <v>32775.35999</v>
      </c>
      <c r="CJ9" s="54">
        <f t="array" ref="CJ9">IF(CJ$2=1,Assumptions!$P9/12,(SUMIF($D$2:$EE$2,CJ$2-1,$D9:$EE9)/12)*(1+XLOOKUP(CJ$2,Assumptions!$C$94:$M$94,Assumptions!$C$97:$M$97)))</f>
        <v>33758.62079</v>
      </c>
      <c r="CK9" s="54">
        <f t="array" ref="CK9">IF(CK$2=1,Assumptions!$P9/12,(SUMIF($D$2:$EE$2,CK$2-1,$D9:$EE9)/12)*(1+XLOOKUP(CK$2,Assumptions!$C$94:$M$94,Assumptions!$C$97:$M$97)))</f>
        <v>33758.62079</v>
      </c>
      <c r="CL9" s="54">
        <f t="array" ref="CL9">IF(CL$2=1,Assumptions!$P9/12,(SUMIF($D$2:$EE$2,CL$2-1,$D9:$EE9)/12)*(1+XLOOKUP(CL$2,Assumptions!$C$94:$M$94,Assumptions!$C$97:$M$97)))</f>
        <v>33758.62079</v>
      </c>
      <c r="CM9" s="54">
        <f t="array" ref="CM9">IF(CM$2=1,Assumptions!$P9/12,(SUMIF($D$2:$EE$2,CM$2-1,$D9:$EE9)/12)*(1+XLOOKUP(CM$2,Assumptions!$C$94:$M$94,Assumptions!$C$97:$M$97)))</f>
        <v>33758.62079</v>
      </c>
      <c r="CN9" s="54">
        <f t="array" ref="CN9">IF(CN$2=1,Assumptions!$P9/12,(SUMIF($D$2:$EE$2,CN$2-1,$D9:$EE9)/12)*(1+XLOOKUP(CN$2,Assumptions!$C$94:$M$94,Assumptions!$C$97:$M$97)))</f>
        <v>33758.62079</v>
      </c>
      <c r="CO9" s="54">
        <f t="array" ref="CO9">IF(CO$2=1,Assumptions!$P9/12,(SUMIF($D$2:$EE$2,CO$2-1,$D9:$EE9)/12)*(1+XLOOKUP(CO$2,Assumptions!$C$94:$M$94,Assumptions!$C$97:$M$97)))</f>
        <v>33758.62079</v>
      </c>
      <c r="CP9" s="54">
        <f t="array" ref="CP9">IF(CP$2=1,Assumptions!$P9/12,(SUMIF($D$2:$EE$2,CP$2-1,$D9:$EE9)/12)*(1+XLOOKUP(CP$2,Assumptions!$C$94:$M$94,Assumptions!$C$97:$M$97)))</f>
        <v>33758.62079</v>
      </c>
      <c r="CQ9" s="54">
        <f t="array" ref="CQ9">IF(CQ$2=1,Assumptions!$P9/12,(SUMIF($D$2:$EE$2,CQ$2-1,$D9:$EE9)/12)*(1+XLOOKUP(CQ$2,Assumptions!$C$94:$M$94,Assumptions!$C$97:$M$97)))</f>
        <v>33758.62079</v>
      </c>
      <c r="CR9" s="54">
        <f t="array" ref="CR9">IF(CR$2=1,Assumptions!$P9/12,(SUMIF($D$2:$EE$2,CR$2-1,$D9:$EE9)/12)*(1+XLOOKUP(CR$2,Assumptions!$C$94:$M$94,Assumptions!$C$97:$M$97)))</f>
        <v>33758.62079</v>
      </c>
      <c r="CS9" s="54">
        <f t="array" ref="CS9">IF(CS$2=1,Assumptions!$P9/12,(SUMIF($D$2:$EE$2,CS$2-1,$D9:$EE9)/12)*(1+XLOOKUP(CS$2,Assumptions!$C$94:$M$94,Assumptions!$C$97:$M$97)))</f>
        <v>33758.62079</v>
      </c>
      <c r="CT9" s="54">
        <f t="array" ref="CT9">IF(CT$2=1,Assumptions!$P9/12,(SUMIF($D$2:$EE$2,CT$2-1,$D9:$EE9)/12)*(1+XLOOKUP(CT$2,Assumptions!$C$94:$M$94,Assumptions!$C$97:$M$97)))</f>
        <v>33758.62079</v>
      </c>
      <c r="CU9" s="54">
        <f t="array" ref="CU9">IF(CU$2=1,Assumptions!$P9/12,(SUMIF($D$2:$EE$2,CU$2-1,$D9:$EE9)/12)*(1+XLOOKUP(CU$2,Assumptions!$C$94:$M$94,Assumptions!$C$97:$M$97)))</f>
        <v>33758.62079</v>
      </c>
      <c r="CV9" s="54">
        <f t="array" ref="CV9">IF(CV$2=1,Assumptions!$P9/12,(SUMIF($D$2:$EE$2,CV$2-1,$D9:$EE9)/12)*(1+XLOOKUP(CV$2,Assumptions!$C$94:$M$94,Assumptions!$C$97:$M$97)))</f>
        <v>34771.37941</v>
      </c>
      <c r="CW9" s="54">
        <f t="array" ref="CW9">IF(CW$2=1,Assumptions!$P9/12,(SUMIF($D$2:$EE$2,CW$2-1,$D9:$EE9)/12)*(1+XLOOKUP(CW$2,Assumptions!$C$94:$M$94,Assumptions!$C$97:$M$97)))</f>
        <v>34771.37941</v>
      </c>
      <c r="CX9" s="54">
        <f t="array" ref="CX9">IF(CX$2=1,Assumptions!$P9/12,(SUMIF($D$2:$EE$2,CX$2-1,$D9:$EE9)/12)*(1+XLOOKUP(CX$2,Assumptions!$C$94:$M$94,Assumptions!$C$97:$M$97)))</f>
        <v>34771.37941</v>
      </c>
      <c r="CY9" s="54">
        <f t="array" ref="CY9">IF(CY$2=1,Assumptions!$P9/12,(SUMIF($D$2:$EE$2,CY$2-1,$D9:$EE9)/12)*(1+XLOOKUP(CY$2,Assumptions!$C$94:$M$94,Assumptions!$C$97:$M$97)))</f>
        <v>34771.37941</v>
      </c>
      <c r="CZ9" s="54">
        <f t="array" ref="CZ9">IF(CZ$2=1,Assumptions!$P9/12,(SUMIF($D$2:$EE$2,CZ$2-1,$D9:$EE9)/12)*(1+XLOOKUP(CZ$2,Assumptions!$C$94:$M$94,Assumptions!$C$97:$M$97)))</f>
        <v>34771.37941</v>
      </c>
      <c r="DA9" s="54">
        <f t="array" ref="DA9">IF(DA$2=1,Assumptions!$P9/12,(SUMIF($D$2:$EE$2,DA$2-1,$D9:$EE9)/12)*(1+XLOOKUP(DA$2,Assumptions!$C$94:$M$94,Assumptions!$C$97:$M$97)))</f>
        <v>34771.37941</v>
      </c>
      <c r="DB9" s="54">
        <f t="array" ref="DB9">IF(DB$2=1,Assumptions!$P9/12,(SUMIF($D$2:$EE$2,DB$2-1,$D9:$EE9)/12)*(1+XLOOKUP(DB$2,Assumptions!$C$94:$M$94,Assumptions!$C$97:$M$97)))</f>
        <v>34771.37941</v>
      </c>
      <c r="DC9" s="54">
        <f t="array" ref="DC9">IF(DC$2=1,Assumptions!$P9/12,(SUMIF($D$2:$EE$2,DC$2-1,$D9:$EE9)/12)*(1+XLOOKUP(DC$2,Assumptions!$C$94:$M$94,Assumptions!$C$97:$M$97)))</f>
        <v>34771.37941</v>
      </c>
      <c r="DD9" s="54">
        <f t="array" ref="DD9">IF(DD$2=1,Assumptions!$P9/12,(SUMIF($D$2:$EE$2,DD$2-1,$D9:$EE9)/12)*(1+XLOOKUP(DD$2,Assumptions!$C$94:$M$94,Assumptions!$C$97:$M$97)))</f>
        <v>34771.37941</v>
      </c>
      <c r="DE9" s="54">
        <f t="array" ref="DE9">IF(DE$2=1,Assumptions!$P9/12,(SUMIF($D$2:$EE$2,DE$2-1,$D9:$EE9)/12)*(1+XLOOKUP(DE$2,Assumptions!$C$94:$M$94,Assumptions!$C$97:$M$97)))</f>
        <v>34771.37941</v>
      </c>
      <c r="DF9" s="54">
        <f t="array" ref="DF9">IF(DF$2=1,Assumptions!$P9/12,(SUMIF($D$2:$EE$2,DF$2-1,$D9:$EE9)/12)*(1+XLOOKUP(DF$2,Assumptions!$C$94:$M$94,Assumptions!$C$97:$M$97)))</f>
        <v>34771.37941</v>
      </c>
      <c r="DG9" s="54">
        <f t="array" ref="DG9">IF(DG$2=1,Assumptions!$P9/12,(SUMIF($D$2:$EE$2,DG$2-1,$D9:$EE9)/12)*(1+XLOOKUP(DG$2,Assumptions!$C$94:$M$94,Assumptions!$C$97:$M$97)))</f>
        <v>34771.37941</v>
      </c>
      <c r="DH9" s="54">
        <f t="array" ref="DH9">IF(DH$2=1,Assumptions!$P9/12,(SUMIF($D$2:$EE$2,DH$2-1,$D9:$EE9)/12)*(1+XLOOKUP(DH$2,Assumptions!$C$94:$M$94,Assumptions!$C$97:$M$97)))</f>
        <v>35814.5208</v>
      </c>
      <c r="DI9" s="54">
        <f t="array" ref="DI9">IF(DI$2=1,Assumptions!$P9/12,(SUMIF($D$2:$EE$2,DI$2-1,$D9:$EE9)/12)*(1+XLOOKUP(DI$2,Assumptions!$C$94:$M$94,Assumptions!$C$97:$M$97)))</f>
        <v>35814.5208</v>
      </c>
      <c r="DJ9" s="54">
        <f t="array" ref="DJ9">IF(DJ$2=1,Assumptions!$P9/12,(SUMIF($D$2:$EE$2,DJ$2-1,$D9:$EE9)/12)*(1+XLOOKUP(DJ$2,Assumptions!$C$94:$M$94,Assumptions!$C$97:$M$97)))</f>
        <v>35814.5208</v>
      </c>
      <c r="DK9" s="54">
        <f t="array" ref="DK9">IF(DK$2=1,Assumptions!$P9/12,(SUMIF($D$2:$EE$2,DK$2-1,$D9:$EE9)/12)*(1+XLOOKUP(DK$2,Assumptions!$C$94:$M$94,Assumptions!$C$97:$M$97)))</f>
        <v>35814.5208</v>
      </c>
      <c r="DL9" s="54">
        <f t="array" ref="DL9">IF(DL$2=1,Assumptions!$P9/12,(SUMIF($D$2:$EE$2,DL$2-1,$D9:$EE9)/12)*(1+XLOOKUP(DL$2,Assumptions!$C$94:$M$94,Assumptions!$C$97:$M$97)))</f>
        <v>35814.5208</v>
      </c>
      <c r="DM9" s="54">
        <f t="array" ref="DM9">IF(DM$2=1,Assumptions!$P9/12,(SUMIF($D$2:$EE$2,DM$2-1,$D9:$EE9)/12)*(1+XLOOKUP(DM$2,Assumptions!$C$94:$M$94,Assumptions!$C$97:$M$97)))</f>
        <v>35814.5208</v>
      </c>
      <c r="DN9" s="54">
        <f t="array" ref="DN9">IF(DN$2=1,Assumptions!$P9/12,(SUMIF($D$2:$EE$2,DN$2-1,$D9:$EE9)/12)*(1+XLOOKUP(DN$2,Assumptions!$C$94:$M$94,Assumptions!$C$97:$M$97)))</f>
        <v>35814.5208</v>
      </c>
      <c r="DO9" s="54">
        <f t="array" ref="DO9">IF(DO$2=1,Assumptions!$P9/12,(SUMIF($D$2:$EE$2,DO$2-1,$D9:$EE9)/12)*(1+XLOOKUP(DO$2,Assumptions!$C$94:$M$94,Assumptions!$C$97:$M$97)))</f>
        <v>35814.5208</v>
      </c>
      <c r="DP9" s="54">
        <f t="array" ref="DP9">IF(DP$2=1,Assumptions!$P9/12,(SUMIF($D$2:$EE$2,DP$2-1,$D9:$EE9)/12)*(1+XLOOKUP(DP$2,Assumptions!$C$94:$M$94,Assumptions!$C$97:$M$97)))</f>
        <v>35814.5208</v>
      </c>
      <c r="DQ9" s="54">
        <f t="array" ref="DQ9">IF(DQ$2=1,Assumptions!$P9/12,(SUMIF($D$2:$EE$2,DQ$2-1,$D9:$EE9)/12)*(1+XLOOKUP(DQ$2,Assumptions!$C$94:$M$94,Assumptions!$C$97:$M$97)))</f>
        <v>35814.5208</v>
      </c>
      <c r="DR9" s="54">
        <f t="array" ref="DR9">IF(DR$2=1,Assumptions!$P9/12,(SUMIF($D$2:$EE$2,DR$2-1,$D9:$EE9)/12)*(1+XLOOKUP(DR$2,Assumptions!$C$94:$M$94,Assumptions!$C$97:$M$97)))</f>
        <v>35814.5208</v>
      </c>
      <c r="DS9" s="54">
        <f t="array" ref="DS9">IF(DS$2=1,Assumptions!$P9/12,(SUMIF($D$2:$EE$2,DS$2-1,$D9:$EE9)/12)*(1+XLOOKUP(DS$2,Assumptions!$C$94:$M$94,Assumptions!$C$97:$M$97)))</f>
        <v>35814.5208</v>
      </c>
      <c r="DT9" s="54">
        <f t="array" ref="DT9">IF(DT$2=1,Assumptions!$P9/12,(SUMIF($D$2:$EE$2,DT$2-1,$D9:$EE9)/12)*(1+XLOOKUP(DT$2,Assumptions!$C$94:$M$94,Assumptions!$C$97:$M$97)))</f>
        <v>36888.95642</v>
      </c>
      <c r="DU9" s="54">
        <f t="array" ref="DU9">IF(DU$2=1,Assumptions!$P9/12,(SUMIF($D$2:$EE$2,DU$2-1,$D9:$EE9)/12)*(1+XLOOKUP(DU$2,Assumptions!$C$94:$M$94,Assumptions!$C$97:$M$97)))</f>
        <v>36888.95642</v>
      </c>
      <c r="DV9" s="54">
        <f t="array" ref="DV9">IF(DV$2=1,Assumptions!$P9/12,(SUMIF($D$2:$EE$2,DV$2-1,$D9:$EE9)/12)*(1+XLOOKUP(DV$2,Assumptions!$C$94:$M$94,Assumptions!$C$97:$M$97)))</f>
        <v>36888.95642</v>
      </c>
      <c r="DW9" s="54">
        <f t="array" ref="DW9">IF(DW$2=1,Assumptions!$P9/12,(SUMIF($D$2:$EE$2,DW$2-1,$D9:$EE9)/12)*(1+XLOOKUP(DW$2,Assumptions!$C$94:$M$94,Assumptions!$C$97:$M$97)))</f>
        <v>36888.95642</v>
      </c>
      <c r="DX9" s="54">
        <f t="array" ref="DX9">IF(DX$2=1,Assumptions!$P9/12,(SUMIF($D$2:$EE$2,DX$2-1,$D9:$EE9)/12)*(1+XLOOKUP(DX$2,Assumptions!$C$94:$M$94,Assumptions!$C$97:$M$97)))</f>
        <v>36888.95642</v>
      </c>
      <c r="DY9" s="54">
        <f t="array" ref="DY9">IF(DY$2=1,Assumptions!$P9/12,(SUMIF($D$2:$EE$2,DY$2-1,$D9:$EE9)/12)*(1+XLOOKUP(DY$2,Assumptions!$C$94:$M$94,Assumptions!$C$97:$M$97)))</f>
        <v>36888.95642</v>
      </c>
      <c r="DZ9" s="54">
        <f t="array" ref="DZ9">IF(DZ$2=1,Assumptions!$P9/12,(SUMIF($D$2:$EE$2,DZ$2-1,$D9:$EE9)/12)*(1+XLOOKUP(DZ$2,Assumptions!$C$94:$M$94,Assumptions!$C$97:$M$97)))</f>
        <v>36888.95642</v>
      </c>
      <c r="EA9" s="54">
        <f t="array" ref="EA9">IF(EA$2=1,Assumptions!$P9/12,(SUMIF($D$2:$EE$2,EA$2-1,$D9:$EE9)/12)*(1+XLOOKUP(EA$2,Assumptions!$C$94:$M$94,Assumptions!$C$97:$M$97)))</f>
        <v>36888.95642</v>
      </c>
      <c r="EB9" s="54">
        <f t="array" ref="EB9">IF(EB$2=1,Assumptions!$P9/12,(SUMIF($D$2:$EE$2,EB$2-1,$D9:$EE9)/12)*(1+XLOOKUP(EB$2,Assumptions!$C$94:$M$94,Assumptions!$C$97:$M$97)))</f>
        <v>36888.95642</v>
      </c>
      <c r="EC9" s="54">
        <f t="array" ref="EC9">IF(EC$2=1,Assumptions!$P9/12,(SUMIF($D$2:$EE$2,EC$2-1,$D9:$EE9)/12)*(1+XLOOKUP(EC$2,Assumptions!$C$94:$M$94,Assumptions!$C$97:$M$97)))</f>
        <v>36888.95642</v>
      </c>
      <c r="ED9" s="54">
        <f t="array" ref="ED9">IF(ED$2=1,Assumptions!$P9/12,(SUMIF($D$2:$EE$2,ED$2-1,$D9:$EE9)/12)*(1+XLOOKUP(ED$2,Assumptions!$C$94:$M$94,Assumptions!$C$97:$M$97)))</f>
        <v>36888.95642</v>
      </c>
      <c r="EE9" s="54">
        <f t="array" ref="EE9">IF(EE$2=1,Assumptions!$P9/12,(SUMIF($D$2:$EE$2,EE$2-1,$D9:$EE9)/12)*(1+XLOOKUP(EE$2,Assumptions!$C$94:$M$94,Assumptions!$C$97:$M$97)))</f>
        <v>36888.95642</v>
      </c>
    </row>
    <row r="10" ht="15.75" customHeight="1">
      <c r="A10" s="1"/>
      <c r="B10" s="1"/>
      <c r="C10" s="1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</row>
    <row r="11" ht="15.75" customHeight="1">
      <c r="A11" s="1"/>
      <c r="B11" s="1"/>
      <c r="C11" s="1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</row>
    <row r="12" ht="15.75" customHeight="1">
      <c r="A12" s="1"/>
      <c r="B12" s="26"/>
      <c r="C12" s="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</row>
    <row r="13" ht="15.75" customHeight="1">
      <c r="A13" s="1"/>
      <c r="B13" s="110"/>
      <c r="C13" s="47" t="s">
        <v>194</v>
      </c>
      <c r="D13" s="213">
        <f t="shared" ref="D13:EE13" si="3">SUM(D5:D12)</f>
        <v>183728.286</v>
      </c>
      <c r="E13" s="213">
        <f t="shared" si="3"/>
        <v>183728.286</v>
      </c>
      <c r="F13" s="213">
        <f t="shared" si="3"/>
        <v>183728.286</v>
      </c>
      <c r="G13" s="213">
        <f t="shared" si="3"/>
        <v>183728.286</v>
      </c>
      <c r="H13" s="213">
        <f t="shared" si="3"/>
        <v>183728.286</v>
      </c>
      <c r="I13" s="213">
        <f t="shared" si="3"/>
        <v>183728.286</v>
      </c>
      <c r="J13" s="213">
        <f t="shared" si="3"/>
        <v>183728.286</v>
      </c>
      <c r="K13" s="213">
        <f t="shared" si="3"/>
        <v>183728.286</v>
      </c>
      <c r="L13" s="213">
        <f t="shared" si="3"/>
        <v>183728.286</v>
      </c>
      <c r="M13" s="213">
        <f t="shared" si="3"/>
        <v>183728.286</v>
      </c>
      <c r="N13" s="213">
        <f t="shared" si="3"/>
        <v>183728.286</v>
      </c>
      <c r="O13" s="213">
        <f t="shared" si="3"/>
        <v>183728.286</v>
      </c>
      <c r="P13" s="213">
        <f t="shared" si="3"/>
        <v>189240.1346</v>
      </c>
      <c r="Q13" s="213">
        <f t="shared" si="3"/>
        <v>189240.1346</v>
      </c>
      <c r="R13" s="213">
        <f t="shared" si="3"/>
        <v>189240.1346</v>
      </c>
      <c r="S13" s="213">
        <f t="shared" si="3"/>
        <v>189240.1346</v>
      </c>
      <c r="T13" s="213">
        <f t="shared" si="3"/>
        <v>189240.1346</v>
      </c>
      <c r="U13" s="213">
        <f t="shared" si="3"/>
        <v>189240.1346</v>
      </c>
      <c r="V13" s="213">
        <f t="shared" si="3"/>
        <v>189240.1346</v>
      </c>
      <c r="W13" s="213">
        <f t="shared" si="3"/>
        <v>189240.1346</v>
      </c>
      <c r="X13" s="213">
        <f t="shared" si="3"/>
        <v>189240.1346</v>
      </c>
      <c r="Y13" s="213">
        <f t="shared" si="3"/>
        <v>189240.1346</v>
      </c>
      <c r="Z13" s="213">
        <f t="shared" si="3"/>
        <v>189240.1346</v>
      </c>
      <c r="AA13" s="213">
        <f t="shared" si="3"/>
        <v>189240.1346</v>
      </c>
      <c r="AB13" s="213">
        <f t="shared" si="3"/>
        <v>194917.3386</v>
      </c>
      <c r="AC13" s="213">
        <f t="shared" si="3"/>
        <v>194917.3386</v>
      </c>
      <c r="AD13" s="213">
        <f t="shared" si="3"/>
        <v>194917.3386</v>
      </c>
      <c r="AE13" s="213">
        <f t="shared" si="3"/>
        <v>194917.3386</v>
      </c>
      <c r="AF13" s="213">
        <f t="shared" si="3"/>
        <v>194917.3386</v>
      </c>
      <c r="AG13" s="213">
        <f t="shared" si="3"/>
        <v>194917.3386</v>
      </c>
      <c r="AH13" s="213">
        <f t="shared" si="3"/>
        <v>194917.3386</v>
      </c>
      <c r="AI13" s="213">
        <f t="shared" si="3"/>
        <v>194917.3386</v>
      </c>
      <c r="AJ13" s="213">
        <f t="shared" si="3"/>
        <v>194917.3386</v>
      </c>
      <c r="AK13" s="213">
        <f t="shared" si="3"/>
        <v>194917.3386</v>
      </c>
      <c r="AL13" s="213">
        <f t="shared" si="3"/>
        <v>194917.3386</v>
      </c>
      <c r="AM13" s="213">
        <f t="shared" si="3"/>
        <v>194917.3386</v>
      </c>
      <c r="AN13" s="213">
        <f t="shared" si="3"/>
        <v>200764.8588</v>
      </c>
      <c r="AO13" s="213">
        <f t="shared" si="3"/>
        <v>200764.8588</v>
      </c>
      <c r="AP13" s="213">
        <f t="shared" si="3"/>
        <v>200764.8588</v>
      </c>
      <c r="AQ13" s="213">
        <f t="shared" si="3"/>
        <v>200764.8588</v>
      </c>
      <c r="AR13" s="213">
        <f t="shared" si="3"/>
        <v>200764.8588</v>
      </c>
      <c r="AS13" s="213">
        <f t="shared" si="3"/>
        <v>200764.8588</v>
      </c>
      <c r="AT13" s="213">
        <f t="shared" si="3"/>
        <v>200764.8588</v>
      </c>
      <c r="AU13" s="213">
        <f t="shared" si="3"/>
        <v>200764.8588</v>
      </c>
      <c r="AV13" s="213">
        <f t="shared" si="3"/>
        <v>200764.8588</v>
      </c>
      <c r="AW13" s="213">
        <f t="shared" si="3"/>
        <v>200764.8588</v>
      </c>
      <c r="AX13" s="213">
        <f t="shared" si="3"/>
        <v>200764.8588</v>
      </c>
      <c r="AY13" s="213">
        <f t="shared" si="3"/>
        <v>200764.8588</v>
      </c>
      <c r="AZ13" s="213">
        <f t="shared" si="3"/>
        <v>206787.8045</v>
      </c>
      <c r="BA13" s="213">
        <f t="shared" si="3"/>
        <v>206787.8045</v>
      </c>
      <c r="BB13" s="213">
        <f t="shared" si="3"/>
        <v>206787.8045</v>
      </c>
      <c r="BC13" s="213">
        <f t="shared" si="3"/>
        <v>206787.8045</v>
      </c>
      <c r="BD13" s="213">
        <f t="shared" si="3"/>
        <v>206787.8045</v>
      </c>
      <c r="BE13" s="213">
        <f t="shared" si="3"/>
        <v>206787.8045</v>
      </c>
      <c r="BF13" s="213">
        <f t="shared" si="3"/>
        <v>206787.8045</v>
      </c>
      <c r="BG13" s="213">
        <f t="shared" si="3"/>
        <v>206787.8045</v>
      </c>
      <c r="BH13" s="213">
        <f t="shared" si="3"/>
        <v>206787.8045</v>
      </c>
      <c r="BI13" s="213">
        <f t="shared" si="3"/>
        <v>206787.8045</v>
      </c>
      <c r="BJ13" s="213">
        <f t="shared" si="3"/>
        <v>206787.8045</v>
      </c>
      <c r="BK13" s="213">
        <f t="shared" si="3"/>
        <v>206787.8045</v>
      </c>
      <c r="BL13" s="213">
        <f t="shared" si="3"/>
        <v>212991.4387</v>
      </c>
      <c r="BM13" s="213">
        <f t="shared" si="3"/>
        <v>212991.4387</v>
      </c>
      <c r="BN13" s="213">
        <f t="shared" si="3"/>
        <v>212991.4387</v>
      </c>
      <c r="BO13" s="213">
        <f t="shared" si="3"/>
        <v>212991.4387</v>
      </c>
      <c r="BP13" s="213">
        <f t="shared" si="3"/>
        <v>212991.4387</v>
      </c>
      <c r="BQ13" s="213">
        <f t="shared" si="3"/>
        <v>212991.4387</v>
      </c>
      <c r="BR13" s="213">
        <f t="shared" si="3"/>
        <v>212991.4387</v>
      </c>
      <c r="BS13" s="213">
        <f t="shared" si="3"/>
        <v>212991.4387</v>
      </c>
      <c r="BT13" s="213">
        <f t="shared" si="3"/>
        <v>212991.4387</v>
      </c>
      <c r="BU13" s="213">
        <f t="shared" si="3"/>
        <v>212991.4387</v>
      </c>
      <c r="BV13" s="213">
        <f t="shared" si="3"/>
        <v>212991.4387</v>
      </c>
      <c r="BW13" s="213">
        <f t="shared" si="3"/>
        <v>212991.4387</v>
      </c>
      <c r="BX13" s="213">
        <f t="shared" si="3"/>
        <v>219381.1818</v>
      </c>
      <c r="BY13" s="213">
        <f t="shared" si="3"/>
        <v>219381.1818</v>
      </c>
      <c r="BZ13" s="213">
        <f t="shared" si="3"/>
        <v>219381.1818</v>
      </c>
      <c r="CA13" s="213">
        <f t="shared" si="3"/>
        <v>219381.1818</v>
      </c>
      <c r="CB13" s="213">
        <f t="shared" si="3"/>
        <v>219381.1818</v>
      </c>
      <c r="CC13" s="213">
        <f t="shared" si="3"/>
        <v>219381.1818</v>
      </c>
      <c r="CD13" s="213">
        <f t="shared" si="3"/>
        <v>219381.1818</v>
      </c>
      <c r="CE13" s="213">
        <f t="shared" si="3"/>
        <v>219381.1818</v>
      </c>
      <c r="CF13" s="213">
        <f t="shared" si="3"/>
        <v>219381.1818</v>
      </c>
      <c r="CG13" s="213">
        <f t="shared" si="3"/>
        <v>219381.1818</v>
      </c>
      <c r="CH13" s="213">
        <f t="shared" si="3"/>
        <v>219381.1818</v>
      </c>
      <c r="CI13" s="213">
        <f t="shared" si="3"/>
        <v>219381.1818</v>
      </c>
      <c r="CJ13" s="213">
        <f t="shared" si="3"/>
        <v>225962.6173</v>
      </c>
      <c r="CK13" s="213">
        <f t="shared" si="3"/>
        <v>225962.6173</v>
      </c>
      <c r="CL13" s="213">
        <f t="shared" si="3"/>
        <v>225962.6173</v>
      </c>
      <c r="CM13" s="213">
        <f t="shared" si="3"/>
        <v>225962.6173</v>
      </c>
      <c r="CN13" s="213">
        <f t="shared" si="3"/>
        <v>225962.6173</v>
      </c>
      <c r="CO13" s="213">
        <f t="shared" si="3"/>
        <v>225962.6173</v>
      </c>
      <c r="CP13" s="213">
        <f t="shared" si="3"/>
        <v>225962.6173</v>
      </c>
      <c r="CQ13" s="213">
        <f t="shared" si="3"/>
        <v>225962.6173</v>
      </c>
      <c r="CR13" s="213">
        <f t="shared" si="3"/>
        <v>225962.6173</v>
      </c>
      <c r="CS13" s="213">
        <f t="shared" si="3"/>
        <v>225962.6173</v>
      </c>
      <c r="CT13" s="213">
        <f t="shared" si="3"/>
        <v>225962.6173</v>
      </c>
      <c r="CU13" s="213">
        <f t="shared" si="3"/>
        <v>225962.6173</v>
      </c>
      <c r="CV13" s="213">
        <f t="shared" si="3"/>
        <v>232741.4958</v>
      </c>
      <c r="CW13" s="213">
        <f t="shared" si="3"/>
        <v>232741.4958</v>
      </c>
      <c r="CX13" s="213">
        <f t="shared" si="3"/>
        <v>232741.4958</v>
      </c>
      <c r="CY13" s="213">
        <f t="shared" si="3"/>
        <v>232741.4958</v>
      </c>
      <c r="CZ13" s="213">
        <f t="shared" si="3"/>
        <v>232741.4958</v>
      </c>
      <c r="DA13" s="213">
        <f t="shared" si="3"/>
        <v>232741.4958</v>
      </c>
      <c r="DB13" s="213">
        <f t="shared" si="3"/>
        <v>232741.4958</v>
      </c>
      <c r="DC13" s="213">
        <f t="shared" si="3"/>
        <v>232741.4958</v>
      </c>
      <c r="DD13" s="213">
        <f t="shared" si="3"/>
        <v>232741.4958</v>
      </c>
      <c r="DE13" s="213">
        <f t="shared" si="3"/>
        <v>232741.4958</v>
      </c>
      <c r="DF13" s="213">
        <f t="shared" si="3"/>
        <v>232741.4958</v>
      </c>
      <c r="DG13" s="213">
        <f t="shared" si="3"/>
        <v>232741.4958</v>
      </c>
      <c r="DH13" s="213">
        <f t="shared" si="3"/>
        <v>239723.7407</v>
      </c>
      <c r="DI13" s="213">
        <f t="shared" si="3"/>
        <v>239723.7407</v>
      </c>
      <c r="DJ13" s="213">
        <f t="shared" si="3"/>
        <v>239723.7407</v>
      </c>
      <c r="DK13" s="213">
        <f t="shared" si="3"/>
        <v>239723.7407</v>
      </c>
      <c r="DL13" s="213">
        <f t="shared" si="3"/>
        <v>239723.7407</v>
      </c>
      <c r="DM13" s="213">
        <f t="shared" si="3"/>
        <v>239723.7407</v>
      </c>
      <c r="DN13" s="213">
        <f t="shared" si="3"/>
        <v>239723.7407</v>
      </c>
      <c r="DO13" s="213">
        <f t="shared" si="3"/>
        <v>239723.7407</v>
      </c>
      <c r="DP13" s="213">
        <f t="shared" si="3"/>
        <v>239723.7407</v>
      </c>
      <c r="DQ13" s="213">
        <f t="shared" si="3"/>
        <v>239723.7407</v>
      </c>
      <c r="DR13" s="213">
        <f t="shared" si="3"/>
        <v>239723.7407</v>
      </c>
      <c r="DS13" s="213">
        <f t="shared" si="3"/>
        <v>239723.7407</v>
      </c>
      <c r="DT13" s="213">
        <f t="shared" si="3"/>
        <v>246915.4529</v>
      </c>
      <c r="DU13" s="213">
        <f t="shared" si="3"/>
        <v>246915.4529</v>
      </c>
      <c r="DV13" s="213">
        <f t="shared" si="3"/>
        <v>246915.4529</v>
      </c>
      <c r="DW13" s="213">
        <f t="shared" si="3"/>
        <v>246915.4529</v>
      </c>
      <c r="DX13" s="213">
        <f t="shared" si="3"/>
        <v>246915.4529</v>
      </c>
      <c r="DY13" s="213">
        <f t="shared" si="3"/>
        <v>246915.4529</v>
      </c>
      <c r="DZ13" s="213">
        <f t="shared" si="3"/>
        <v>246915.4529</v>
      </c>
      <c r="EA13" s="213">
        <f t="shared" si="3"/>
        <v>246915.4529</v>
      </c>
      <c r="EB13" s="213">
        <f t="shared" si="3"/>
        <v>246915.4529</v>
      </c>
      <c r="EC13" s="213">
        <f t="shared" si="3"/>
        <v>246915.4529</v>
      </c>
      <c r="ED13" s="213">
        <f t="shared" si="3"/>
        <v>246915.4529</v>
      </c>
      <c r="EE13" s="213">
        <f t="shared" si="3"/>
        <v>246915.4529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54">
        <f t="array" ref="D15">-D$13*IF(D$2=(Assumptions!$D$68+1),Assumptions!$D$67,XLOOKUP(D$2,Assumptions!$C$94:$M$94,Assumptions!$C$95:$M$95))</f>
        <v>-9186.4143</v>
      </c>
      <c r="E15" s="54">
        <f t="array" ref="E15">-E$13*IF(E$2=(Assumptions!$D$68+1),Assumptions!$D$67,XLOOKUP(E$2,Assumptions!$C$94:$M$94,Assumptions!$C$95:$M$95))</f>
        <v>-9186.4143</v>
      </c>
      <c r="F15" s="54">
        <f t="array" ref="F15">-F$13*IF(F$2=(Assumptions!$D$68+1),Assumptions!$D$67,XLOOKUP(F$2,Assumptions!$C$94:$M$94,Assumptions!$C$95:$M$95))</f>
        <v>-9186.4143</v>
      </c>
      <c r="G15" s="54">
        <f t="array" ref="G15">-G$13*IF(G$2=(Assumptions!$D$68+1),Assumptions!$D$67,XLOOKUP(G$2,Assumptions!$C$94:$M$94,Assumptions!$C$95:$M$95))</f>
        <v>-9186.4143</v>
      </c>
      <c r="H15" s="54">
        <f t="array" ref="H15">-H$13*IF(H$2=(Assumptions!$D$68+1),Assumptions!$D$67,XLOOKUP(H$2,Assumptions!$C$94:$M$94,Assumptions!$C$95:$M$95))</f>
        <v>-9186.4143</v>
      </c>
      <c r="I15" s="54">
        <f t="array" ref="I15">-I$13*IF(I$2=(Assumptions!$D$68+1),Assumptions!$D$67,XLOOKUP(I$2,Assumptions!$C$94:$M$94,Assumptions!$C$95:$M$95))</f>
        <v>-9186.4143</v>
      </c>
      <c r="J15" s="54">
        <f t="array" ref="J15">-J$13*IF(J$2=(Assumptions!$D$68+1),Assumptions!$D$67,XLOOKUP(J$2,Assumptions!$C$94:$M$94,Assumptions!$C$95:$M$95))</f>
        <v>-9186.4143</v>
      </c>
      <c r="K15" s="54">
        <f t="array" ref="K15">-K$13*IF(K$2=(Assumptions!$D$68+1),Assumptions!$D$67,XLOOKUP(K$2,Assumptions!$C$94:$M$94,Assumptions!$C$95:$M$95))</f>
        <v>-9186.4143</v>
      </c>
      <c r="L15" s="54">
        <f t="array" ref="L15">-L$13*IF(L$2=(Assumptions!$D$68+1),Assumptions!$D$67,XLOOKUP(L$2,Assumptions!$C$94:$M$94,Assumptions!$C$95:$M$95))</f>
        <v>-9186.4143</v>
      </c>
      <c r="M15" s="54">
        <f t="array" ref="M15">-M$13*IF(M$2=(Assumptions!$D$68+1),Assumptions!$D$67,XLOOKUP(M$2,Assumptions!$C$94:$M$94,Assumptions!$C$95:$M$95))</f>
        <v>-9186.4143</v>
      </c>
      <c r="N15" s="54">
        <f t="array" ref="N15">-N$13*IF(N$2=(Assumptions!$D$68+1),Assumptions!$D$67,XLOOKUP(N$2,Assumptions!$C$94:$M$94,Assumptions!$C$95:$M$95))</f>
        <v>-9186.4143</v>
      </c>
      <c r="O15" s="54">
        <f t="array" ref="O15">-O$13*IF(O$2=(Assumptions!$D$68+1),Assumptions!$D$67,XLOOKUP(O$2,Assumptions!$C$94:$M$94,Assumptions!$C$95:$M$95))</f>
        <v>-9186.4143</v>
      </c>
      <c r="P15" s="54">
        <f t="array" ref="P15">-P$13*IF(P$2=(Assumptions!$D$68+1),Assumptions!$D$67,XLOOKUP(P$2,Assumptions!$C$94:$M$94,Assumptions!$C$95:$M$95))</f>
        <v>-3784.802692</v>
      </c>
      <c r="Q15" s="54">
        <f t="array" ref="Q15">-Q$13*IF(Q$2=(Assumptions!$D$68+1),Assumptions!$D$67,XLOOKUP(Q$2,Assumptions!$C$94:$M$94,Assumptions!$C$95:$M$95))</f>
        <v>-3784.802692</v>
      </c>
      <c r="R15" s="54">
        <f t="array" ref="R15">-R$13*IF(R$2=(Assumptions!$D$68+1),Assumptions!$D$67,XLOOKUP(R$2,Assumptions!$C$94:$M$94,Assumptions!$C$95:$M$95))</f>
        <v>-3784.802692</v>
      </c>
      <c r="S15" s="54">
        <f t="array" ref="S15">-S$13*IF(S$2=(Assumptions!$D$68+1),Assumptions!$D$67,XLOOKUP(S$2,Assumptions!$C$94:$M$94,Assumptions!$C$95:$M$95))</f>
        <v>-3784.802692</v>
      </c>
      <c r="T15" s="54">
        <f t="array" ref="T15">-T$13*IF(T$2=(Assumptions!$D$68+1),Assumptions!$D$67,XLOOKUP(T$2,Assumptions!$C$94:$M$94,Assumptions!$C$95:$M$95))</f>
        <v>-3784.802692</v>
      </c>
      <c r="U15" s="54">
        <f t="array" ref="U15">-U$13*IF(U$2=(Assumptions!$D$68+1),Assumptions!$D$67,XLOOKUP(U$2,Assumptions!$C$94:$M$94,Assumptions!$C$95:$M$95))</f>
        <v>-3784.802692</v>
      </c>
      <c r="V15" s="54">
        <f t="array" ref="V15">-V$13*IF(V$2=(Assumptions!$D$68+1),Assumptions!$D$67,XLOOKUP(V$2,Assumptions!$C$94:$M$94,Assumptions!$C$95:$M$95))</f>
        <v>-3784.802692</v>
      </c>
      <c r="W15" s="54">
        <f t="array" ref="W15">-W$13*IF(W$2=(Assumptions!$D$68+1),Assumptions!$D$67,XLOOKUP(W$2,Assumptions!$C$94:$M$94,Assumptions!$C$95:$M$95))</f>
        <v>-3784.802692</v>
      </c>
      <c r="X15" s="54">
        <f t="array" ref="X15">-X$13*IF(X$2=(Assumptions!$D$68+1),Assumptions!$D$67,XLOOKUP(X$2,Assumptions!$C$94:$M$94,Assumptions!$C$95:$M$95))</f>
        <v>-3784.802692</v>
      </c>
      <c r="Y15" s="54">
        <f t="array" ref="Y15">-Y$13*IF(Y$2=(Assumptions!$D$68+1),Assumptions!$D$67,XLOOKUP(Y$2,Assumptions!$C$94:$M$94,Assumptions!$C$95:$M$95))</f>
        <v>-3784.802692</v>
      </c>
      <c r="Z15" s="54">
        <f t="array" ref="Z15">-Z$13*IF(Z$2=(Assumptions!$D$68+1),Assumptions!$D$67,XLOOKUP(Z$2,Assumptions!$C$94:$M$94,Assumptions!$C$95:$M$95))</f>
        <v>-3784.802692</v>
      </c>
      <c r="AA15" s="54">
        <f t="array" ref="AA15">-AA$13*IF(AA$2=(Assumptions!$D$68+1),Assumptions!$D$67,XLOOKUP(AA$2,Assumptions!$C$94:$M$94,Assumptions!$C$95:$M$95))</f>
        <v>-3784.802692</v>
      </c>
      <c r="AB15" s="54">
        <f t="array" ref="AB15">-AB$13*IF(AB$2=(Assumptions!$D$68+1),Assumptions!$D$67,XLOOKUP(AB$2,Assumptions!$C$94:$M$94,Assumptions!$C$95:$M$95))</f>
        <v>-3898.346772</v>
      </c>
      <c r="AC15" s="54">
        <f t="array" ref="AC15">-AC$13*IF(AC$2=(Assumptions!$D$68+1),Assumptions!$D$67,XLOOKUP(AC$2,Assumptions!$C$94:$M$94,Assumptions!$C$95:$M$95))</f>
        <v>-3898.346772</v>
      </c>
      <c r="AD15" s="54">
        <f t="array" ref="AD15">-AD$13*IF(AD$2=(Assumptions!$D$68+1),Assumptions!$D$67,XLOOKUP(AD$2,Assumptions!$C$94:$M$94,Assumptions!$C$95:$M$95))</f>
        <v>-3898.346772</v>
      </c>
      <c r="AE15" s="54">
        <f t="array" ref="AE15">-AE$13*IF(AE$2=(Assumptions!$D$68+1),Assumptions!$D$67,XLOOKUP(AE$2,Assumptions!$C$94:$M$94,Assumptions!$C$95:$M$95))</f>
        <v>-3898.346772</v>
      </c>
      <c r="AF15" s="54">
        <f t="array" ref="AF15">-AF$13*IF(AF$2=(Assumptions!$D$68+1),Assumptions!$D$67,XLOOKUP(AF$2,Assumptions!$C$94:$M$94,Assumptions!$C$95:$M$95))</f>
        <v>-3898.346772</v>
      </c>
      <c r="AG15" s="54">
        <f t="array" ref="AG15">-AG$13*IF(AG$2=(Assumptions!$D$68+1),Assumptions!$D$67,XLOOKUP(AG$2,Assumptions!$C$94:$M$94,Assumptions!$C$95:$M$95))</f>
        <v>-3898.346772</v>
      </c>
      <c r="AH15" s="54">
        <f t="array" ref="AH15">-AH$13*IF(AH$2=(Assumptions!$D$68+1),Assumptions!$D$67,XLOOKUP(AH$2,Assumptions!$C$94:$M$94,Assumptions!$C$95:$M$95))</f>
        <v>-3898.346772</v>
      </c>
      <c r="AI15" s="54">
        <f t="array" ref="AI15">-AI$13*IF(AI$2=(Assumptions!$D$68+1),Assumptions!$D$67,XLOOKUP(AI$2,Assumptions!$C$94:$M$94,Assumptions!$C$95:$M$95))</f>
        <v>-3898.346772</v>
      </c>
      <c r="AJ15" s="54">
        <f t="array" ref="AJ15">-AJ$13*IF(AJ$2=(Assumptions!$D$68+1),Assumptions!$D$67,XLOOKUP(AJ$2,Assumptions!$C$94:$M$94,Assumptions!$C$95:$M$95))</f>
        <v>-3898.346772</v>
      </c>
      <c r="AK15" s="54">
        <f t="array" ref="AK15">-AK$13*IF(AK$2=(Assumptions!$D$68+1),Assumptions!$D$67,XLOOKUP(AK$2,Assumptions!$C$94:$M$94,Assumptions!$C$95:$M$95))</f>
        <v>-3898.346772</v>
      </c>
      <c r="AL15" s="54">
        <f t="array" ref="AL15">-AL$13*IF(AL$2=(Assumptions!$D$68+1),Assumptions!$D$67,XLOOKUP(AL$2,Assumptions!$C$94:$M$94,Assumptions!$C$95:$M$95))</f>
        <v>-3898.346772</v>
      </c>
      <c r="AM15" s="54">
        <f t="array" ref="AM15">-AM$13*IF(AM$2=(Assumptions!$D$68+1),Assumptions!$D$67,XLOOKUP(AM$2,Assumptions!$C$94:$M$94,Assumptions!$C$95:$M$95))</f>
        <v>-3898.346772</v>
      </c>
      <c r="AN15" s="54">
        <f t="array" ref="AN15">-AN$13*IF(AN$2=(Assumptions!$D$68+1),Assumptions!$D$67,XLOOKUP(AN$2,Assumptions!$C$94:$M$94,Assumptions!$C$95:$M$95))</f>
        <v>-4015.297176</v>
      </c>
      <c r="AO15" s="54">
        <f t="array" ref="AO15">-AO$13*IF(AO$2=(Assumptions!$D$68+1),Assumptions!$D$67,XLOOKUP(AO$2,Assumptions!$C$94:$M$94,Assumptions!$C$95:$M$95))</f>
        <v>-4015.297176</v>
      </c>
      <c r="AP15" s="54">
        <f t="array" ref="AP15">-AP$13*IF(AP$2=(Assumptions!$D$68+1),Assumptions!$D$67,XLOOKUP(AP$2,Assumptions!$C$94:$M$94,Assumptions!$C$95:$M$95))</f>
        <v>-4015.297176</v>
      </c>
      <c r="AQ15" s="54">
        <f t="array" ref="AQ15">-AQ$13*IF(AQ$2=(Assumptions!$D$68+1),Assumptions!$D$67,XLOOKUP(AQ$2,Assumptions!$C$94:$M$94,Assumptions!$C$95:$M$95))</f>
        <v>-4015.297176</v>
      </c>
      <c r="AR15" s="54">
        <f t="array" ref="AR15">-AR$13*IF(AR$2=(Assumptions!$D$68+1),Assumptions!$D$67,XLOOKUP(AR$2,Assumptions!$C$94:$M$94,Assumptions!$C$95:$M$95))</f>
        <v>-4015.297176</v>
      </c>
      <c r="AS15" s="54">
        <f t="array" ref="AS15">-AS$13*IF(AS$2=(Assumptions!$D$68+1),Assumptions!$D$67,XLOOKUP(AS$2,Assumptions!$C$94:$M$94,Assumptions!$C$95:$M$95))</f>
        <v>-4015.297176</v>
      </c>
      <c r="AT15" s="54">
        <f t="array" ref="AT15">-AT$13*IF(AT$2=(Assumptions!$D$68+1),Assumptions!$D$67,XLOOKUP(AT$2,Assumptions!$C$94:$M$94,Assumptions!$C$95:$M$95))</f>
        <v>-4015.297176</v>
      </c>
      <c r="AU15" s="54">
        <f t="array" ref="AU15">-AU$13*IF(AU$2=(Assumptions!$D$68+1),Assumptions!$D$67,XLOOKUP(AU$2,Assumptions!$C$94:$M$94,Assumptions!$C$95:$M$95))</f>
        <v>-4015.297176</v>
      </c>
      <c r="AV15" s="54">
        <f t="array" ref="AV15">-AV$13*IF(AV$2=(Assumptions!$D$68+1),Assumptions!$D$67,XLOOKUP(AV$2,Assumptions!$C$94:$M$94,Assumptions!$C$95:$M$95))</f>
        <v>-4015.297176</v>
      </c>
      <c r="AW15" s="54">
        <f t="array" ref="AW15">-AW$13*IF(AW$2=(Assumptions!$D$68+1),Assumptions!$D$67,XLOOKUP(AW$2,Assumptions!$C$94:$M$94,Assumptions!$C$95:$M$95))</f>
        <v>-4015.297176</v>
      </c>
      <c r="AX15" s="54">
        <f t="array" ref="AX15">-AX$13*IF(AX$2=(Assumptions!$D$68+1),Assumptions!$D$67,XLOOKUP(AX$2,Assumptions!$C$94:$M$94,Assumptions!$C$95:$M$95))</f>
        <v>-4015.297176</v>
      </c>
      <c r="AY15" s="54">
        <f t="array" ref="AY15">-AY$13*IF(AY$2=(Assumptions!$D$68+1),Assumptions!$D$67,XLOOKUP(AY$2,Assumptions!$C$94:$M$94,Assumptions!$C$95:$M$95))</f>
        <v>-4015.297176</v>
      </c>
      <c r="AZ15" s="54">
        <f t="array" ref="AZ15">-AZ$13*IF(AZ$2=(Assumptions!$D$68+1),Assumptions!$D$67,XLOOKUP(AZ$2,Assumptions!$C$94:$M$94,Assumptions!$C$95:$M$95))</f>
        <v>-4135.756091</v>
      </c>
      <c r="BA15" s="54">
        <f t="array" ref="BA15">-BA$13*IF(BA$2=(Assumptions!$D$68+1),Assumptions!$D$67,XLOOKUP(BA$2,Assumptions!$C$94:$M$94,Assumptions!$C$95:$M$95))</f>
        <v>-4135.756091</v>
      </c>
      <c r="BB15" s="54">
        <f t="array" ref="BB15">-BB$13*IF(BB$2=(Assumptions!$D$68+1),Assumptions!$D$67,XLOOKUP(BB$2,Assumptions!$C$94:$M$94,Assumptions!$C$95:$M$95))</f>
        <v>-4135.756091</v>
      </c>
      <c r="BC15" s="54">
        <f t="array" ref="BC15">-BC$13*IF(BC$2=(Assumptions!$D$68+1),Assumptions!$D$67,XLOOKUP(BC$2,Assumptions!$C$94:$M$94,Assumptions!$C$95:$M$95))</f>
        <v>-4135.756091</v>
      </c>
      <c r="BD15" s="54">
        <f t="array" ref="BD15">-BD$13*IF(BD$2=(Assumptions!$D$68+1),Assumptions!$D$67,XLOOKUP(BD$2,Assumptions!$C$94:$M$94,Assumptions!$C$95:$M$95))</f>
        <v>-4135.756091</v>
      </c>
      <c r="BE15" s="54">
        <f t="array" ref="BE15">-BE$13*IF(BE$2=(Assumptions!$D$68+1),Assumptions!$D$67,XLOOKUP(BE$2,Assumptions!$C$94:$M$94,Assumptions!$C$95:$M$95))</f>
        <v>-4135.756091</v>
      </c>
      <c r="BF15" s="54">
        <f t="array" ref="BF15">-BF$13*IF(BF$2=(Assumptions!$D$68+1),Assumptions!$D$67,XLOOKUP(BF$2,Assumptions!$C$94:$M$94,Assumptions!$C$95:$M$95))</f>
        <v>-4135.756091</v>
      </c>
      <c r="BG15" s="54">
        <f t="array" ref="BG15">-BG$13*IF(BG$2=(Assumptions!$D$68+1),Assumptions!$D$67,XLOOKUP(BG$2,Assumptions!$C$94:$M$94,Assumptions!$C$95:$M$95))</f>
        <v>-4135.756091</v>
      </c>
      <c r="BH15" s="54">
        <f t="array" ref="BH15">-BH$13*IF(BH$2=(Assumptions!$D$68+1),Assumptions!$D$67,XLOOKUP(BH$2,Assumptions!$C$94:$M$94,Assumptions!$C$95:$M$95))</f>
        <v>-4135.756091</v>
      </c>
      <c r="BI15" s="54">
        <f t="array" ref="BI15">-BI$13*IF(BI$2=(Assumptions!$D$68+1),Assumptions!$D$67,XLOOKUP(BI$2,Assumptions!$C$94:$M$94,Assumptions!$C$95:$M$95))</f>
        <v>-4135.756091</v>
      </c>
      <c r="BJ15" s="54">
        <f t="array" ref="BJ15">-BJ$13*IF(BJ$2=(Assumptions!$D$68+1),Assumptions!$D$67,XLOOKUP(BJ$2,Assumptions!$C$94:$M$94,Assumptions!$C$95:$M$95))</f>
        <v>-4135.756091</v>
      </c>
      <c r="BK15" s="54">
        <f t="array" ref="BK15">-BK$13*IF(BK$2=(Assumptions!$D$68+1),Assumptions!$D$67,XLOOKUP(BK$2,Assumptions!$C$94:$M$94,Assumptions!$C$95:$M$95))</f>
        <v>-4135.756091</v>
      </c>
      <c r="BL15" s="54">
        <f t="array" ref="BL15">-BL$13*IF(BL$2=(Assumptions!$D$68+1),Assumptions!$D$67,XLOOKUP(BL$2,Assumptions!$C$94:$M$94,Assumptions!$C$95:$M$95))</f>
        <v>-4259.828774</v>
      </c>
      <c r="BM15" s="54">
        <f t="array" ref="BM15">-BM$13*IF(BM$2=(Assumptions!$D$68+1),Assumptions!$D$67,XLOOKUP(BM$2,Assumptions!$C$94:$M$94,Assumptions!$C$95:$M$95))</f>
        <v>-4259.828774</v>
      </c>
      <c r="BN15" s="54">
        <f t="array" ref="BN15">-BN$13*IF(BN$2=(Assumptions!$D$68+1),Assumptions!$D$67,XLOOKUP(BN$2,Assumptions!$C$94:$M$94,Assumptions!$C$95:$M$95))</f>
        <v>-4259.828774</v>
      </c>
      <c r="BO15" s="54">
        <f t="array" ref="BO15">-BO$13*IF(BO$2=(Assumptions!$D$68+1),Assumptions!$D$67,XLOOKUP(BO$2,Assumptions!$C$94:$M$94,Assumptions!$C$95:$M$95))</f>
        <v>-4259.828774</v>
      </c>
      <c r="BP15" s="54">
        <f t="array" ref="BP15">-BP$13*IF(BP$2=(Assumptions!$D$68+1),Assumptions!$D$67,XLOOKUP(BP$2,Assumptions!$C$94:$M$94,Assumptions!$C$95:$M$95))</f>
        <v>-4259.828774</v>
      </c>
      <c r="BQ15" s="54">
        <f t="array" ref="BQ15">-BQ$13*IF(BQ$2=(Assumptions!$D$68+1),Assumptions!$D$67,XLOOKUP(BQ$2,Assumptions!$C$94:$M$94,Assumptions!$C$95:$M$95))</f>
        <v>-4259.828774</v>
      </c>
      <c r="BR15" s="54">
        <f t="array" ref="BR15">-BR$13*IF(BR$2=(Assumptions!$D$68+1),Assumptions!$D$67,XLOOKUP(BR$2,Assumptions!$C$94:$M$94,Assumptions!$C$95:$M$95))</f>
        <v>-4259.828774</v>
      </c>
      <c r="BS15" s="54">
        <f t="array" ref="BS15">-BS$13*IF(BS$2=(Assumptions!$D$68+1),Assumptions!$D$67,XLOOKUP(BS$2,Assumptions!$C$94:$M$94,Assumptions!$C$95:$M$95))</f>
        <v>-4259.828774</v>
      </c>
      <c r="BT15" s="54">
        <f t="array" ref="BT15">-BT$13*IF(BT$2=(Assumptions!$D$68+1),Assumptions!$D$67,XLOOKUP(BT$2,Assumptions!$C$94:$M$94,Assumptions!$C$95:$M$95))</f>
        <v>-4259.828774</v>
      </c>
      <c r="BU15" s="54">
        <f t="array" ref="BU15">-BU$13*IF(BU$2=(Assumptions!$D$68+1),Assumptions!$D$67,XLOOKUP(BU$2,Assumptions!$C$94:$M$94,Assumptions!$C$95:$M$95))</f>
        <v>-4259.828774</v>
      </c>
      <c r="BV15" s="54">
        <f t="array" ref="BV15">-BV$13*IF(BV$2=(Assumptions!$D$68+1),Assumptions!$D$67,XLOOKUP(BV$2,Assumptions!$C$94:$M$94,Assumptions!$C$95:$M$95))</f>
        <v>-4259.828774</v>
      </c>
      <c r="BW15" s="54">
        <f t="array" ref="BW15">-BW$13*IF(BW$2=(Assumptions!$D$68+1),Assumptions!$D$67,XLOOKUP(BW$2,Assumptions!$C$94:$M$94,Assumptions!$C$95:$M$95))</f>
        <v>-4259.828774</v>
      </c>
      <c r="BX15" s="54">
        <f t="array" ref="BX15">-BX$13*IF(BX$2=(Assumptions!$D$68+1),Assumptions!$D$67,XLOOKUP(BX$2,Assumptions!$C$94:$M$94,Assumptions!$C$95:$M$95))</f>
        <v>-4387.623637</v>
      </c>
      <c r="BY15" s="54">
        <f t="array" ref="BY15">-BY$13*IF(BY$2=(Assumptions!$D$68+1),Assumptions!$D$67,XLOOKUP(BY$2,Assumptions!$C$94:$M$94,Assumptions!$C$95:$M$95))</f>
        <v>-4387.623637</v>
      </c>
      <c r="BZ15" s="54">
        <f t="array" ref="BZ15">-BZ$13*IF(BZ$2=(Assumptions!$D$68+1),Assumptions!$D$67,XLOOKUP(BZ$2,Assumptions!$C$94:$M$94,Assumptions!$C$95:$M$95))</f>
        <v>-4387.623637</v>
      </c>
      <c r="CA15" s="54">
        <f t="array" ref="CA15">-CA$13*IF(CA$2=(Assumptions!$D$68+1),Assumptions!$D$67,XLOOKUP(CA$2,Assumptions!$C$94:$M$94,Assumptions!$C$95:$M$95))</f>
        <v>-4387.623637</v>
      </c>
      <c r="CB15" s="54">
        <f t="array" ref="CB15">-CB$13*IF(CB$2=(Assumptions!$D$68+1),Assumptions!$D$67,XLOOKUP(CB$2,Assumptions!$C$94:$M$94,Assumptions!$C$95:$M$95))</f>
        <v>-4387.623637</v>
      </c>
      <c r="CC15" s="54">
        <f t="array" ref="CC15">-CC$13*IF(CC$2=(Assumptions!$D$68+1),Assumptions!$D$67,XLOOKUP(CC$2,Assumptions!$C$94:$M$94,Assumptions!$C$95:$M$95))</f>
        <v>-4387.623637</v>
      </c>
      <c r="CD15" s="54">
        <f t="array" ref="CD15">-CD$13*IF(CD$2=(Assumptions!$D$68+1),Assumptions!$D$67,XLOOKUP(CD$2,Assumptions!$C$94:$M$94,Assumptions!$C$95:$M$95))</f>
        <v>-4387.623637</v>
      </c>
      <c r="CE15" s="54">
        <f t="array" ref="CE15">-CE$13*IF(CE$2=(Assumptions!$D$68+1),Assumptions!$D$67,XLOOKUP(CE$2,Assumptions!$C$94:$M$94,Assumptions!$C$95:$M$95))</f>
        <v>-4387.623637</v>
      </c>
      <c r="CF15" s="54">
        <f t="array" ref="CF15">-CF$13*IF(CF$2=(Assumptions!$D$68+1),Assumptions!$D$67,XLOOKUP(CF$2,Assumptions!$C$94:$M$94,Assumptions!$C$95:$M$95))</f>
        <v>-4387.623637</v>
      </c>
      <c r="CG15" s="54">
        <f t="array" ref="CG15">-CG$13*IF(CG$2=(Assumptions!$D$68+1),Assumptions!$D$67,XLOOKUP(CG$2,Assumptions!$C$94:$M$94,Assumptions!$C$95:$M$95))</f>
        <v>-4387.623637</v>
      </c>
      <c r="CH15" s="54">
        <f t="array" ref="CH15">-CH$13*IF(CH$2=(Assumptions!$D$68+1),Assumptions!$D$67,XLOOKUP(CH$2,Assumptions!$C$94:$M$94,Assumptions!$C$95:$M$95))</f>
        <v>-4387.623637</v>
      </c>
      <c r="CI15" s="54">
        <f t="array" ref="CI15">-CI$13*IF(CI$2=(Assumptions!$D$68+1),Assumptions!$D$67,XLOOKUP(CI$2,Assumptions!$C$94:$M$94,Assumptions!$C$95:$M$95))</f>
        <v>-4387.623637</v>
      </c>
      <c r="CJ15" s="54">
        <f t="array" ref="CJ15">-CJ$13*IF(CJ$2=(Assumptions!$D$68+1),Assumptions!$D$67,XLOOKUP(CJ$2,Assumptions!$C$94:$M$94,Assumptions!$C$95:$M$95))</f>
        <v>-4519.252346</v>
      </c>
      <c r="CK15" s="54">
        <f t="array" ref="CK15">-CK$13*IF(CK$2=(Assumptions!$D$68+1),Assumptions!$D$67,XLOOKUP(CK$2,Assumptions!$C$94:$M$94,Assumptions!$C$95:$M$95))</f>
        <v>-4519.252346</v>
      </c>
      <c r="CL15" s="54">
        <f t="array" ref="CL15">-CL$13*IF(CL$2=(Assumptions!$D$68+1),Assumptions!$D$67,XLOOKUP(CL$2,Assumptions!$C$94:$M$94,Assumptions!$C$95:$M$95))</f>
        <v>-4519.252346</v>
      </c>
      <c r="CM15" s="54">
        <f t="array" ref="CM15">-CM$13*IF(CM$2=(Assumptions!$D$68+1),Assumptions!$D$67,XLOOKUP(CM$2,Assumptions!$C$94:$M$94,Assumptions!$C$95:$M$95))</f>
        <v>-4519.252346</v>
      </c>
      <c r="CN15" s="54">
        <f t="array" ref="CN15">-CN$13*IF(CN$2=(Assumptions!$D$68+1),Assumptions!$D$67,XLOOKUP(CN$2,Assumptions!$C$94:$M$94,Assumptions!$C$95:$M$95))</f>
        <v>-4519.252346</v>
      </c>
      <c r="CO15" s="54">
        <f t="array" ref="CO15">-CO$13*IF(CO$2=(Assumptions!$D$68+1),Assumptions!$D$67,XLOOKUP(CO$2,Assumptions!$C$94:$M$94,Assumptions!$C$95:$M$95))</f>
        <v>-4519.252346</v>
      </c>
      <c r="CP15" s="54">
        <f t="array" ref="CP15">-CP$13*IF(CP$2=(Assumptions!$D$68+1),Assumptions!$D$67,XLOOKUP(CP$2,Assumptions!$C$94:$M$94,Assumptions!$C$95:$M$95))</f>
        <v>-4519.252346</v>
      </c>
      <c r="CQ15" s="54">
        <f t="array" ref="CQ15">-CQ$13*IF(CQ$2=(Assumptions!$D$68+1),Assumptions!$D$67,XLOOKUP(CQ$2,Assumptions!$C$94:$M$94,Assumptions!$C$95:$M$95))</f>
        <v>-4519.252346</v>
      </c>
      <c r="CR15" s="54">
        <f t="array" ref="CR15">-CR$13*IF(CR$2=(Assumptions!$D$68+1),Assumptions!$D$67,XLOOKUP(CR$2,Assumptions!$C$94:$M$94,Assumptions!$C$95:$M$95))</f>
        <v>-4519.252346</v>
      </c>
      <c r="CS15" s="54">
        <f t="array" ref="CS15">-CS$13*IF(CS$2=(Assumptions!$D$68+1),Assumptions!$D$67,XLOOKUP(CS$2,Assumptions!$C$94:$M$94,Assumptions!$C$95:$M$95))</f>
        <v>-4519.252346</v>
      </c>
      <c r="CT15" s="54">
        <f t="array" ref="CT15">-CT$13*IF(CT$2=(Assumptions!$D$68+1),Assumptions!$D$67,XLOOKUP(CT$2,Assumptions!$C$94:$M$94,Assumptions!$C$95:$M$95))</f>
        <v>-4519.252346</v>
      </c>
      <c r="CU15" s="54">
        <f t="array" ref="CU15">-CU$13*IF(CU$2=(Assumptions!$D$68+1),Assumptions!$D$67,XLOOKUP(CU$2,Assumptions!$C$94:$M$94,Assumptions!$C$95:$M$95))</f>
        <v>-4519.252346</v>
      </c>
      <c r="CV15" s="54">
        <f t="array" ref="CV15">-CV$13*IF(CV$2=(Assumptions!$D$68+1),Assumptions!$D$67,XLOOKUP(CV$2,Assumptions!$C$94:$M$94,Assumptions!$C$95:$M$95))</f>
        <v>-4654.829916</v>
      </c>
      <c r="CW15" s="54">
        <f t="array" ref="CW15">-CW$13*IF(CW$2=(Assumptions!$D$68+1),Assumptions!$D$67,XLOOKUP(CW$2,Assumptions!$C$94:$M$94,Assumptions!$C$95:$M$95))</f>
        <v>-4654.829916</v>
      </c>
      <c r="CX15" s="54">
        <f t="array" ref="CX15">-CX$13*IF(CX$2=(Assumptions!$D$68+1),Assumptions!$D$67,XLOOKUP(CX$2,Assumptions!$C$94:$M$94,Assumptions!$C$95:$M$95))</f>
        <v>-4654.829916</v>
      </c>
      <c r="CY15" s="54">
        <f t="array" ref="CY15">-CY$13*IF(CY$2=(Assumptions!$D$68+1),Assumptions!$D$67,XLOOKUP(CY$2,Assumptions!$C$94:$M$94,Assumptions!$C$95:$M$95))</f>
        <v>-4654.829916</v>
      </c>
      <c r="CZ15" s="54">
        <f t="array" ref="CZ15">-CZ$13*IF(CZ$2=(Assumptions!$D$68+1),Assumptions!$D$67,XLOOKUP(CZ$2,Assumptions!$C$94:$M$94,Assumptions!$C$95:$M$95))</f>
        <v>-4654.829916</v>
      </c>
      <c r="DA15" s="54">
        <f t="array" ref="DA15">-DA$13*IF(DA$2=(Assumptions!$D$68+1),Assumptions!$D$67,XLOOKUP(DA$2,Assumptions!$C$94:$M$94,Assumptions!$C$95:$M$95))</f>
        <v>-4654.829916</v>
      </c>
      <c r="DB15" s="54">
        <f t="array" ref="DB15">-DB$13*IF(DB$2=(Assumptions!$D$68+1),Assumptions!$D$67,XLOOKUP(DB$2,Assumptions!$C$94:$M$94,Assumptions!$C$95:$M$95))</f>
        <v>-4654.829916</v>
      </c>
      <c r="DC15" s="54">
        <f t="array" ref="DC15">-DC$13*IF(DC$2=(Assumptions!$D$68+1),Assumptions!$D$67,XLOOKUP(DC$2,Assumptions!$C$94:$M$94,Assumptions!$C$95:$M$95))</f>
        <v>-4654.829916</v>
      </c>
      <c r="DD15" s="54">
        <f t="array" ref="DD15">-DD$13*IF(DD$2=(Assumptions!$D$68+1),Assumptions!$D$67,XLOOKUP(DD$2,Assumptions!$C$94:$M$94,Assumptions!$C$95:$M$95))</f>
        <v>-4654.829916</v>
      </c>
      <c r="DE15" s="54">
        <f t="array" ref="DE15">-DE$13*IF(DE$2=(Assumptions!$D$68+1),Assumptions!$D$67,XLOOKUP(DE$2,Assumptions!$C$94:$M$94,Assumptions!$C$95:$M$95))</f>
        <v>-4654.829916</v>
      </c>
      <c r="DF15" s="54">
        <f t="array" ref="DF15">-DF$13*IF(DF$2=(Assumptions!$D$68+1),Assumptions!$D$67,XLOOKUP(DF$2,Assumptions!$C$94:$M$94,Assumptions!$C$95:$M$95))</f>
        <v>-4654.829916</v>
      </c>
      <c r="DG15" s="54">
        <f t="array" ref="DG15">-DG$13*IF(DG$2=(Assumptions!$D$68+1),Assumptions!$D$67,XLOOKUP(DG$2,Assumptions!$C$94:$M$94,Assumptions!$C$95:$M$95))</f>
        <v>-4654.829916</v>
      </c>
      <c r="DH15" s="54">
        <f t="array" ref="DH15">-DH$13*IF(DH$2=(Assumptions!$D$68+1),Assumptions!$D$67,XLOOKUP(DH$2,Assumptions!$C$94:$M$94,Assumptions!$C$95:$M$95))</f>
        <v>-4794.474814</v>
      </c>
      <c r="DI15" s="54">
        <f t="array" ref="DI15">-DI$13*IF(DI$2=(Assumptions!$D$68+1),Assumptions!$D$67,XLOOKUP(DI$2,Assumptions!$C$94:$M$94,Assumptions!$C$95:$M$95))</f>
        <v>-4794.474814</v>
      </c>
      <c r="DJ15" s="54">
        <f t="array" ref="DJ15">-DJ$13*IF(DJ$2=(Assumptions!$D$68+1),Assumptions!$D$67,XLOOKUP(DJ$2,Assumptions!$C$94:$M$94,Assumptions!$C$95:$M$95))</f>
        <v>-4794.474814</v>
      </c>
      <c r="DK15" s="54">
        <f t="array" ref="DK15">-DK$13*IF(DK$2=(Assumptions!$D$68+1),Assumptions!$D$67,XLOOKUP(DK$2,Assumptions!$C$94:$M$94,Assumptions!$C$95:$M$95))</f>
        <v>-4794.474814</v>
      </c>
      <c r="DL15" s="54">
        <f t="array" ref="DL15">-DL$13*IF(DL$2=(Assumptions!$D$68+1),Assumptions!$D$67,XLOOKUP(DL$2,Assumptions!$C$94:$M$94,Assumptions!$C$95:$M$95))</f>
        <v>-4794.474814</v>
      </c>
      <c r="DM15" s="54">
        <f t="array" ref="DM15">-DM$13*IF(DM$2=(Assumptions!$D$68+1),Assumptions!$D$67,XLOOKUP(DM$2,Assumptions!$C$94:$M$94,Assumptions!$C$95:$M$95))</f>
        <v>-4794.474814</v>
      </c>
      <c r="DN15" s="54">
        <f t="array" ref="DN15">-DN$13*IF(DN$2=(Assumptions!$D$68+1),Assumptions!$D$67,XLOOKUP(DN$2,Assumptions!$C$94:$M$94,Assumptions!$C$95:$M$95))</f>
        <v>-4794.474814</v>
      </c>
      <c r="DO15" s="54">
        <f t="array" ref="DO15">-DO$13*IF(DO$2=(Assumptions!$D$68+1),Assumptions!$D$67,XLOOKUP(DO$2,Assumptions!$C$94:$M$94,Assumptions!$C$95:$M$95))</f>
        <v>-4794.474814</v>
      </c>
      <c r="DP15" s="54">
        <f t="array" ref="DP15">-DP$13*IF(DP$2=(Assumptions!$D$68+1),Assumptions!$D$67,XLOOKUP(DP$2,Assumptions!$C$94:$M$94,Assumptions!$C$95:$M$95))</f>
        <v>-4794.474814</v>
      </c>
      <c r="DQ15" s="54">
        <f t="array" ref="DQ15">-DQ$13*IF(DQ$2=(Assumptions!$D$68+1),Assumptions!$D$67,XLOOKUP(DQ$2,Assumptions!$C$94:$M$94,Assumptions!$C$95:$M$95))</f>
        <v>-4794.474814</v>
      </c>
      <c r="DR15" s="54">
        <f t="array" ref="DR15">-DR$13*IF(DR$2=(Assumptions!$D$68+1),Assumptions!$D$67,XLOOKUP(DR$2,Assumptions!$C$94:$M$94,Assumptions!$C$95:$M$95))</f>
        <v>-4794.474814</v>
      </c>
      <c r="DS15" s="54">
        <f t="array" ref="DS15">-DS$13*IF(DS$2=(Assumptions!$D$68+1),Assumptions!$D$67,XLOOKUP(DS$2,Assumptions!$C$94:$M$94,Assumptions!$C$95:$M$95))</f>
        <v>-4794.474814</v>
      </c>
      <c r="DT15" s="54">
        <f t="array" ref="DT15">-DT$13*IF(DT$2=(Assumptions!$D$68+1),Assumptions!$D$67,XLOOKUP(DT$2,Assumptions!$C$94:$M$94,Assumptions!$C$95:$M$95))</f>
        <v>-12345.77265</v>
      </c>
      <c r="DU15" s="54">
        <f t="array" ref="DU15">-DU$13*IF(DU$2=(Assumptions!$D$68+1),Assumptions!$D$67,XLOOKUP(DU$2,Assumptions!$C$94:$M$94,Assumptions!$C$95:$M$95))</f>
        <v>-12345.77265</v>
      </c>
      <c r="DV15" s="54">
        <f t="array" ref="DV15">-DV$13*IF(DV$2=(Assumptions!$D$68+1),Assumptions!$D$67,XLOOKUP(DV$2,Assumptions!$C$94:$M$94,Assumptions!$C$95:$M$95))</f>
        <v>-12345.77265</v>
      </c>
      <c r="DW15" s="54">
        <f t="array" ref="DW15">-DW$13*IF(DW$2=(Assumptions!$D$68+1),Assumptions!$D$67,XLOOKUP(DW$2,Assumptions!$C$94:$M$94,Assumptions!$C$95:$M$95))</f>
        <v>-12345.77265</v>
      </c>
      <c r="DX15" s="54">
        <f t="array" ref="DX15">-DX$13*IF(DX$2=(Assumptions!$D$68+1),Assumptions!$D$67,XLOOKUP(DX$2,Assumptions!$C$94:$M$94,Assumptions!$C$95:$M$95))</f>
        <v>-12345.77265</v>
      </c>
      <c r="DY15" s="54">
        <f t="array" ref="DY15">-DY$13*IF(DY$2=(Assumptions!$D$68+1),Assumptions!$D$67,XLOOKUP(DY$2,Assumptions!$C$94:$M$94,Assumptions!$C$95:$M$95))</f>
        <v>-12345.77265</v>
      </c>
      <c r="DZ15" s="54">
        <f t="array" ref="DZ15">-DZ$13*IF(DZ$2=(Assumptions!$D$68+1),Assumptions!$D$67,XLOOKUP(DZ$2,Assumptions!$C$94:$M$94,Assumptions!$C$95:$M$95))</f>
        <v>-12345.77265</v>
      </c>
      <c r="EA15" s="54">
        <f t="array" ref="EA15">-EA$13*IF(EA$2=(Assumptions!$D$68+1),Assumptions!$D$67,XLOOKUP(EA$2,Assumptions!$C$94:$M$94,Assumptions!$C$95:$M$95))</f>
        <v>-12345.77265</v>
      </c>
      <c r="EB15" s="54">
        <f t="array" ref="EB15">-EB$13*IF(EB$2=(Assumptions!$D$68+1),Assumptions!$D$67,XLOOKUP(EB$2,Assumptions!$C$94:$M$94,Assumptions!$C$95:$M$95))</f>
        <v>-12345.77265</v>
      </c>
      <c r="EC15" s="54">
        <f t="array" ref="EC15">-EC$13*IF(EC$2=(Assumptions!$D$68+1),Assumptions!$D$67,XLOOKUP(EC$2,Assumptions!$C$94:$M$94,Assumptions!$C$95:$M$95))</f>
        <v>-12345.77265</v>
      </c>
      <c r="ED15" s="54">
        <f t="array" ref="ED15">-ED$13*IF(ED$2=(Assumptions!$D$68+1),Assumptions!$D$67,XLOOKUP(ED$2,Assumptions!$C$94:$M$94,Assumptions!$C$95:$M$95))</f>
        <v>-12345.77265</v>
      </c>
      <c r="EE15" s="54">
        <f t="array" ref="EE15">-EE$13*IF(EE$2=(Assumptions!$D$68+1),Assumptions!$D$67,XLOOKUP(EE$2,Assumptions!$C$94:$M$94,Assumptions!$C$95:$M$95))</f>
        <v>-12345.77265</v>
      </c>
    </row>
    <row r="16" ht="15.75" customHeight="1">
      <c r="A16" s="1"/>
      <c r="B16" s="1"/>
      <c r="C16" s="1" t="str">
        <f>Assumptions!J15</f>
        <v>Bad Debt </v>
      </c>
      <c r="D16" s="54">
        <f>-D$13*Assumptions!$N15</f>
        <v>-1837.28286</v>
      </c>
      <c r="E16" s="54">
        <f>-E$13*Assumptions!$N15</f>
        <v>-1837.28286</v>
      </c>
      <c r="F16" s="54">
        <f>-F$13*Assumptions!$N15</f>
        <v>-1837.28286</v>
      </c>
      <c r="G16" s="54">
        <f>-G$13*Assumptions!$N15</f>
        <v>-1837.28286</v>
      </c>
      <c r="H16" s="54">
        <f>-H$13*Assumptions!$N15</f>
        <v>-1837.28286</v>
      </c>
      <c r="I16" s="54">
        <f>-I$13*Assumptions!$N15</f>
        <v>-1837.28286</v>
      </c>
      <c r="J16" s="54">
        <f>-J$13*Assumptions!$N15</f>
        <v>-1837.28286</v>
      </c>
      <c r="K16" s="54">
        <f>-K$13*Assumptions!$N15</f>
        <v>-1837.28286</v>
      </c>
      <c r="L16" s="54">
        <f>-L$13*Assumptions!$N15</f>
        <v>-1837.28286</v>
      </c>
      <c r="M16" s="54">
        <f>-M$13*Assumptions!$N15</f>
        <v>-1837.28286</v>
      </c>
      <c r="N16" s="54">
        <f>-N$13*Assumptions!$N15</f>
        <v>-1837.28286</v>
      </c>
      <c r="O16" s="54">
        <f>-O$13*Assumptions!$N15</f>
        <v>-1837.28286</v>
      </c>
      <c r="P16" s="54">
        <f>-P$13*Assumptions!$N15</f>
        <v>-1892.401346</v>
      </c>
      <c r="Q16" s="54">
        <f>-Q$13*Assumptions!$N15</f>
        <v>-1892.401346</v>
      </c>
      <c r="R16" s="54">
        <f>-R$13*Assumptions!$N15</f>
        <v>-1892.401346</v>
      </c>
      <c r="S16" s="54">
        <f>-S$13*Assumptions!$N15</f>
        <v>-1892.401346</v>
      </c>
      <c r="T16" s="54">
        <f>-T$13*Assumptions!$N15</f>
        <v>-1892.401346</v>
      </c>
      <c r="U16" s="54">
        <f>-U$13*Assumptions!$N15</f>
        <v>-1892.401346</v>
      </c>
      <c r="V16" s="54">
        <f>-V$13*Assumptions!$N15</f>
        <v>-1892.401346</v>
      </c>
      <c r="W16" s="54">
        <f>-W$13*Assumptions!$N15</f>
        <v>-1892.401346</v>
      </c>
      <c r="X16" s="54">
        <f>-X$13*Assumptions!$N15</f>
        <v>-1892.401346</v>
      </c>
      <c r="Y16" s="54">
        <f>-Y$13*Assumptions!$N15</f>
        <v>-1892.401346</v>
      </c>
      <c r="Z16" s="54">
        <f>-Z$13*Assumptions!$N15</f>
        <v>-1892.401346</v>
      </c>
      <c r="AA16" s="54">
        <f>-AA$13*Assumptions!$N15</f>
        <v>-1892.401346</v>
      </c>
      <c r="AB16" s="54">
        <f>-AB$13*Assumptions!$N15</f>
        <v>-1949.173386</v>
      </c>
      <c r="AC16" s="54">
        <f>-AC$13*Assumptions!$N15</f>
        <v>-1949.173386</v>
      </c>
      <c r="AD16" s="54">
        <f>-AD$13*Assumptions!$N15</f>
        <v>-1949.173386</v>
      </c>
      <c r="AE16" s="54">
        <f>-AE$13*Assumptions!$N15</f>
        <v>-1949.173386</v>
      </c>
      <c r="AF16" s="54">
        <f>-AF$13*Assumptions!$N15</f>
        <v>-1949.173386</v>
      </c>
      <c r="AG16" s="54">
        <f>-AG$13*Assumptions!$N15</f>
        <v>-1949.173386</v>
      </c>
      <c r="AH16" s="54">
        <f>-AH$13*Assumptions!$N15</f>
        <v>-1949.173386</v>
      </c>
      <c r="AI16" s="54">
        <f>-AI$13*Assumptions!$N15</f>
        <v>-1949.173386</v>
      </c>
      <c r="AJ16" s="54">
        <f>-AJ$13*Assumptions!$N15</f>
        <v>-1949.173386</v>
      </c>
      <c r="AK16" s="54">
        <f>-AK$13*Assumptions!$N15</f>
        <v>-1949.173386</v>
      </c>
      <c r="AL16" s="54">
        <f>-AL$13*Assumptions!$N15</f>
        <v>-1949.173386</v>
      </c>
      <c r="AM16" s="54">
        <f>-AM$13*Assumptions!$N15</f>
        <v>-1949.173386</v>
      </c>
      <c r="AN16" s="54">
        <f>-AN$13*Assumptions!$N15</f>
        <v>-2007.648588</v>
      </c>
      <c r="AO16" s="54">
        <f>-AO$13*Assumptions!$N15</f>
        <v>-2007.648588</v>
      </c>
      <c r="AP16" s="54">
        <f>-AP$13*Assumptions!$N15</f>
        <v>-2007.648588</v>
      </c>
      <c r="AQ16" s="54">
        <f>-AQ$13*Assumptions!$N15</f>
        <v>-2007.648588</v>
      </c>
      <c r="AR16" s="54">
        <f>-AR$13*Assumptions!$N15</f>
        <v>-2007.648588</v>
      </c>
      <c r="AS16" s="54">
        <f>-AS$13*Assumptions!$N15</f>
        <v>-2007.648588</v>
      </c>
      <c r="AT16" s="54">
        <f>-AT$13*Assumptions!$N15</f>
        <v>-2007.648588</v>
      </c>
      <c r="AU16" s="54">
        <f>-AU$13*Assumptions!$N15</f>
        <v>-2007.648588</v>
      </c>
      <c r="AV16" s="54">
        <f>-AV$13*Assumptions!$N15</f>
        <v>-2007.648588</v>
      </c>
      <c r="AW16" s="54">
        <f>-AW$13*Assumptions!$N15</f>
        <v>-2007.648588</v>
      </c>
      <c r="AX16" s="54">
        <f>-AX$13*Assumptions!$N15</f>
        <v>-2007.648588</v>
      </c>
      <c r="AY16" s="54">
        <f>-AY$13*Assumptions!$N15</f>
        <v>-2007.648588</v>
      </c>
      <c r="AZ16" s="54">
        <f>-AZ$13*Assumptions!$N15</f>
        <v>-2067.878045</v>
      </c>
      <c r="BA16" s="54">
        <f>-BA$13*Assumptions!$N15</f>
        <v>-2067.878045</v>
      </c>
      <c r="BB16" s="54">
        <f>-BB$13*Assumptions!$N15</f>
        <v>-2067.878045</v>
      </c>
      <c r="BC16" s="54">
        <f>-BC$13*Assumptions!$N15</f>
        <v>-2067.878045</v>
      </c>
      <c r="BD16" s="54">
        <f>-BD$13*Assumptions!$N15</f>
        <v>-2067.878045</v>
      </c>
      <c r="BE16" s="54">
        <f>-BE$13*Assumptions!$N15</f>
        <v>-2067.878045</v>
      </c>
      <c r="BF16" s="54">
        <f>-BF$13*Assumptions!$N15</f>
        <v>-2067.878045</v>
      </c>
      <c r="BG16" s="54">
        <f>-BG$13*Assumptions!$N15</f>
        <v>-2067.878045</v>
      </c>
      <c r="BH16" s="54">
        <f>-BH$13*Assumptions!$N15</f>
        <v>-2067.878045</v>
      </c>
      <c r="BI16" s="54">
        <f>-BI$13*Assumptions!$N15</f>
        <v>-2067.878045</v>
      </c>
      <c r="BJ16" s="54">
        <f>-BJ$13*Assumptions!$N15</f>
        <v>-2067.878045</v>
      </c>
      <c r="BK16" s="54">
        <f>-BK$13*Assumptions!$N15</f>
        <v>-2067.878045</v>
      </c>
      <c r="BL16" s="54">
        <f>-BL$13*Assumptions!$N15</f>
        <v>-2129.914387</v>
      </c>
      <c r="BM16" s="54">
        <f>-BM$13*Assumptions!$N15</f>
        <v>-2129.914387</v>
      </c>
      <c r="BN16" s="54">
        <f>-BN$13*Assumptions!$N15</f>
        <v>-2129.914387</v>
      </c>
      <c r="BO16" s="54">
        <f>-BO$13*Assumptions!$N15</f>
        <v>-2129.914387</v>
      </c>
      <c r="BP16" s="54">
        <f>-BP$13*Assumptions!$N15</f>
        <v>-2129.914387</v>
      </c>
      <c r="BQ16" s="54">
        <f>-BQ$13*Assumptions!$N15</f>
        <v>-2129.914387</v>
      </c>
      <c r="BR16" s="54">
        <f>-BR$13*Assumptions!$N15</f>
        <v>-2129.914387</v>
      </c>
      <c r="BS16" s="54">
        <f>-BS$13*Assumptions!$N15</f>
        <v>-2129.914387</v>
      </c>
      <c r="BT16" s="54">
        <f>-BT$13*Assumptions!$N15</f>
        <v>-2129.914387</v>
      </c>
      <c r="BU16" s="54">
        <f>-BU$13*Assumptions!$N15</f>
        <v>-2129.914387</v>
      </c>
      <c r="BV16" s="54">
        <f>-BV$13*Assumptions!$N15</f>
        <v>-2129.914387</v>
      </c>
      <c r="BW16" s="54">
        <f>-BW$13*Assumptions!$N15</f>
        <v>-2129.914387</v>
      </c>
      <c r="BX16" s="54">
        <f>-BX$13*Assumptions!$N15</f>
        <v>-2193.811818</v>
      </c>
      <c r="BY16" s="54">
        <f>-BY$13*Assumptions!$N15</f>
        <v>-2193.811818</v>
      </c>
      <c r="BZ16" s="54">
        <f>-BZ$13*Assumptions!$N15</f>
        <v>-2193.811818</v>
      </c>
      <c r="CA16" s="54">
        <f>-CA$13*Assumptions!$N15</f>
        <v>-2193.811818</v>
      </c>
      <c r="CB16" s="54">
        <f>-CB$13*Assumptions!$N15</f>
        <v>-2193.811818</v>
      </c>
      <c r="CC16" s="54">
        <f>-CC$13*Assumptions!$N15</f>
        <v>-2193.811818</v>
      </c>
      <c r="CD16" s="54">
        <f>-CD$13*Assumptions!$N15</f>
        <v>-2193.811818</v>
      </c>
      <c r="CE16" s="54">
        <f>-CE$13*Assumptions!$N15</f>
        <v>-2193.811818</v>
      </c>
      <c r="CF16" s="54">
        <f>-CF$13*Assumptions!$N15</f>
        <v>-2193.811818</v>
      </c>
      <c r="CG16" s="54">
        <f>-CG$13*Assumptions!$N15</f>
        <v>-2193.811818</v>
      </c>
      <c r="CH16" s="54">
        <f>-CH$13*Assumptions!$N15</f>
        <v>-2193.811818</v>
      </c>
      <c r="CI16" s="54">
        <f>-CI$13*Assumptions!$N15</f>
        <v>-2193.811818</v>
      </c>
      <c r="CJ16" s="54">
        <f>-CJ$13*Assumptions!$N15</f>
        <v>-2259.626173</v>
      </c>
      <c r="CK16" s="54">
        <f>-CK$13*Assumptions!$N15</f>
        <v>-2259.626173</v>
      </c>
      <c r="CL16" s="54">
        <f>-CL$13*Assumptions!$N15</f>
        <v>-2259.626173</v>
      </c>
      <c r="CM16" s="54">
        <f>-CM$13*Assumptions!$N15</f>
        <v>-2259.626173</v>
      </c>
      <c r="CN16" s="54">
        <f>-CN$13*Assumptions!$N15</f>
        <v>-2259.626173</v>
      </c>
      <c r="CO16" s="54">
        <f>-CO$13*Assumptions!$N15</f>
        <v>-2259.626173</v>
      </c>
      <c r="CP16" s="54">
        <f>-CP$13*Assumptions!$N15</f>
        <v>-2259.626173</v>
      </c>
      <c r="CQ16" s="54">
        <f>-CQ$13*Assumptions!$N15</f>
        <v>-2259.626173</v>
      </c>
      <c r="CR16" s="54">
        <f>-CR$13*Assumptions!$N15</f>
        <v>-2259.626173</v>
      </c>
      <c r="CS16" s="54">
        <f>-CS$13*Assumptions!$N15</f>
        <v>-2259.626173</v>
      </c>
      <c r="CT16" s="54">
        <f>-CT$13*Assumptions!$N15</f>
        <v>-2259.626173</v>
      </c>
      <c r="CU16" s="54">
        <f>-CU$13*Assumptions!$N15</f>
        <v>-2259.626173</v>
      </c>
      <c r="CV16" s="54">
        <f>-CV$13*Assumptions!$N15</f>
        <v>-2327.414958</v>
      </c>
      <c r="CW16" s="54">
        <f>-CW$13*Assumptions!$N15</f>
        <v>-2327.414958</v>
      </c>
      <c r="CX16" s="54">
        <f>-CX$13*Assumptions!$N15</f>
        <v>-2327.414958</v>
      </c>
      <c r="CY16" s="54">
        <f>-CY$13*Assumptions!$N15</f>
        <v>-2327.414958</v>
      </c>
      <c r="CZ16" s="54">
        <f>-CZ$13*Assumptions!$N15</f>
        <v>-2327.414958</v>
      </c>
      <c r="DA16" s="54">
        <f>-DA$13*Assumptions!$N15</f>
        <v>-2327.414958</v>
      </c>
      <c r="DB16" s="54">
        <f>-DB$13*Assumptions!$N15</f>
        <v>-2327.414958</v>
      </c>
      <c r="DC16" s="54">
        <f>-DC$13*Assumptions!$N15</f>
        <v>-2327.414958</v>
      </c>
      <c r="DD16" s="54">
        <f>-DD$13*Assumptions!$N15</f>
        <v>-2327.414958</v>
      </c>
      <c r="DE16" s="54">
        <f>-DE$13*Assumptions!$N15</f>
        <v>-2327.414958</v>
      </c>
      <c r="DF16" s="54">
        <f>-DF$13*Assumptions!$N15</f>
        <v>-2327.414958</v>
      </c>
      <c r="DG16" s="54">
        <f>-DG$13*Assumptions!$N15</f>
        <v>-2327.414958</v>
      </c>
      <c r="DH16" s="54">
        <f>-DH$13*Assumptions!$N15</f>
        <v>-2397.237407</v>
      </c>
      <c r="DI16" s="54">
        <f>-DI$13*Assumptions!$N15</f>
        <v>-2397.237407</v>
      </c>
      <c r="DJ16" s="54">
        <f>-DJ$13*Assumptions!$N15</f>
        <v>-2397.237407</v>
      </c>
      <c r="DK16" s="54">
        <f>-DK$13*Assumptions!$N15</f>
        <v>-2397.237407</v>
      </c>
      <c r="DL16" s="54">
        <f>-DL$13*Assumptions!$N15</f>
        <v>-2397.237407</v>
      </c>
      <c r="DM16" s="54">
        <f>-DM$13*Assumptions!$N15</f>
        <v>-2397.237407</v>
      </c>
      <c r="DN16" s="54">
        <f>-DN$13*Assumptions!$N15</f>
        <v>-2397.237407</v>
      </c>
      <c r="DO16" s="54">
        <f>-DO$13*Assumptions!$N15</f>
        <v>-2397.237407</v>
      </c>
      <c r="DP16" s="54">
        <f>-DP$13*Assumptions!$N15</f>
        <v>-2397.237407</v>
      </c>
      <c r="DQ16" s="54">
        <f>-DQ$13*Assumptions!$N15</f>
        <v>-2397.237407</v>
      </c>
      <c r="DR16" s="54">
        <f>-DR$13*Assumptions!$N15</f>
        <v>-2397.237407</v>
      </c>
      <c r="DS16" s="54">
        <f>-DS$13*Assumptions!$N15</f>
        <v>-2397.237407</v>
      </c>
      <c r="DT16" s="54">
        <f>-DT$13*Assumptions!$N15</f>
        <v>-2469.154529</v>
      </c>
      <c r="DU16" s="54">
        <f>-DU$13*Assumptions!$N15</f>
        <v>-2469.154529</v>
      </c>
      <c r="DV16" s="54">
        <f>-DV$13*Assumptions!$N15</f>
        <v>-2469.154529</v>
      </c>
      <c r="DW16" s="54">
        <f>-DW$13*Assumptions!$N15</f>
        <v>-2469.154529</v>
      </c>
      <c r="DX16" s="54">
        <f>-DX$13*Assumptions!$N15</f>
        <v>-2469.154529</v>
      </c>
      <c r="DY16" s="54">
        <f>-DY$13*Assumptions!$N15</f>
        <v>-2469.154529</v>
      </c>
      <c r="DZ16" s="54">
        <f>-DZ$13*Assumptions!$N15</f>
        <v>-2469.154529</v>
      </c>
      <c r="EA16" s="54">
        <f>-EA$13*Assumptions!$N15</f>
        <v>-2469.154529</v>
      </c>
      <c r="EB16" s="54">
        <f>-EB$13*Assumptions!$N15</f>
        <v>-2469.154529</v>
      </c>
      <c r="EC16" s="54">
        <f>-EC$13*Assumptions!$N15</f>
        <v>-2469.154529</v>
      </c>
      <c r="ED16" s="54">
        <f>-ED$13*Assumptions!$N15</f>
        <v>-2469.154529</v>
      </c>
      <c r="EE16" s="54">
        <f>-EE$13*Assumptions!$N15</f>
        <v>-2469.154529</v>
      </c>
    </row>
    <row r="17" ht="15.75" customHeight="1">
      <c r="A17" s="1"/>
      <c r="B17" s="1"/>
      <c r="C17" s="1" t="str">
        <f>Assumptions!J16</f>
        <v>Concession</v>
      </c>
      <c r="D17" s="54">
        <f>-D$13*Assumptions!$N16</f>
        <v>-1837.28286</v>
      </c>
      <c r="E17" s="54">
        <f>-E$13*Assumptions!$N16</f>
        <v>-1837.28286</v>
      </c>
      <c r="F17" s="54">
        <f>-F$13*Assumptions!$N16</f>
        <v>-1837.28286</v>
      </c>
      <c r="G17" s="54">
        <f>-G$13*Assumptions!$N16</f>
        <v>-1837.28286</v>
      </c>
      <c r="H17" s="54">
        <f>-H$13*Assumptions!$N16</f>
        <v>-1837.28286</v>
      </c>
      <c r="I17" s="54">
        <f>-I$13*Assumptions!$N16</f>
        <v>-1837.28286</v>
      </c>
      <c r="J17" s="54">
        <f>-J$13*Assumptions!$N16</f>
        <v>-1837.28286</v>
      </c>
      <c r="K17" s="54">
        <f>-K$13*Assumptions!$N16</f>
        <v>-1837.28286</v>
      </c>
      <c r="L17" s="54">
        <f>-L$13*Assumptions!$N16</f>
        <v>-1837.28286</v>
      </c>
      <c r="M17" s="54">
        <f>-M$13*Assumptions!$N16</f>
        <v>-1837.28286</v>
      </c>
      <c r="N17" s="54">
        <f>-N$13*Assumptions!$N16</f>
        <v>-1837.28286</v>
      </c>
      <c r="O17" s="54">
        <f>-O$13*Assumptions!$N16</f>
        <v>-1837.28286</v>
      </c>
      <c r="P17" s="54">
        <f>-P$13*Assumptions!$N16</f>
        <v>-1892.401346</v>
      </c>
      <c r="Q17" s="54">
        <f>-Q$13*Assumptions!$N16</f>
        <v>-1892.401346</v>
      </c>
      <c r="R17" s="54">
        <f>-R$13*Assumptions!$N16</f>
        <v>-1892.401346</v>
      </c>
      <c r="S17" s="54">
        <f>-S$13*Assumptions!$N16</f>
        <v>-1892.401346</v>
      </c>
      <c r="T17" s="54">
        <f>-T$13*Assumptions!$N16</f>
        <v>-1892.401346</v>
      </c>
      <c r="U17" s="54">
        <f>-U$13*Assumptions!$N16</f>
        <v>-1892.401346</v>
      </c>
      <c r="V17" s="54">
        <f>-V$13*Assumptions!$N16</f>
        <v>-1892.401346</v>
      </c>
      <c r="W17" s="54">
        <f>-W$13*Assumptions!$N16</f>
        <v>-1892.401346</v>
      </c>
      <c r="X17" s="54">
        <f>-X$13*Assumptions!$N16</f>
        <v>-1892.401346</v>
      </c>
      <c r="Y17" s="54">
        <f>-Y$13*Assumptions!$N16</f>
        <v>-1892.401346</v>
      </c>
      <c r="Z17" s="54">
        <f>-Z$13*Assumptions!$N16</f>
        <v>-1892.401346</v>
      </c>
      <c r="AA17" s="54">
        <f>-AA$13*Assumptions!$N16</f>
        <v>-1892.401346</v>
      </c>
      <c r="AB17" s="54">
        <f>-AB$13*Assumptions!$N16</f>
        <v>-1949.173386</v>
      </c>
      <c r="AC17" s="54">
        <f>-AC$13*Assumptions!$N16</f>
        <v>-1949.173386</v>
      </c>
      <c r="AD17" s="54">
        <f>-AD$13*Assumptions!$N16</f>
        <v>-1949.173386</v>
      </c>
      <c r="AE17" s="54">
        <f>-AE$13*Assumptions!$N16</f>
        <v>-1949.173386</v>
      </c>
      <c r="AF17" s="54">
        <f>-AF$13*Assumptions!$N16</f>
        <v>-1949.173386</v>
      </c>
      <c r="AG17" s="54">
        <f>-AG$13*Assumptions!$N16</f>
        <v>-1949.173386</v>
      </c>
      <c r="AH17" s="54">
        <f>-AH$13*Assumptions!$N16</f>
        <v>-1949.173386</v>
      </c>
      <c r="AI17" s="54">
        <f>-AI$13*Assumptions!$N16</f>
        <v>-1949.173386</v>
      </c>
      <c r="AJ17" s="54">
        <f>-AJ$13*Assumptions!$N16</f>
        <v>-1949.173386</v>
      </c>
      <c r="AK17" s="54">
        <f>-AK$13*Assumptions!$N16</f>
        <v>-1949.173386</v>
      </c>
      <c r="AL17" s="54">
        <f>-AL$13*Assumptions!$N16</f>
        <v>-1949.173386</v>
      </c>
      <c r="AM17" s="54">
        <f>-AM$13*Assumptions!$N16</f>
        <v>-1949.173386</v>
      </c>
      <c r="AN17" s="54">
        <f>-AN$13*Assumptions!$N16</f>
        <v>-2007.648588</v>
      </c>
      <c r="AO17" s="54">
        <f>-AO$13*Assumptions!$N16</f>
        <v>-2007.648588</v>
      </c>
      <c r="AP17" s="54">
        <f>-AP$13*Assumptions!$N16</f>
        <v>-2007.648588</v>
      </c>
      <c r="AQ17" s="54">
        <f>-AQ$13*Assumptions!$N16</f>
        <v>-2007.648588</v>
      </c>
      <c r="AR17" s="54">
        <f>-AR$13*Assumptions!$N16</f>
        <v>-2007.648588</v>
      </c>
      <c r="AS17" s="54">
        <f>-AS$13*Assumptions!$N16</f>
        <v>-2007.648588</v>
      </c>
      <c r="AT17" s="54">
        <f>-AT$13*Assumptions!$N16</f>
        <v>-2007.648588</v>
      </c>
      <c r="AU17" s="54">
        <f>-AU$13*Assumptions!$N16</f>
        <v>-2007.648588</v>
      </c>
      <c r="AV17" s="54">
        <f>-AV$13*Assumptions!$N16</f>
        <v>-2007.648588</v>
      </c>
      <c r="AW17" s="54">
        <f>-AW$13*Assumptions!$N16</f>
        <v>-2007.648588</v>
      </c>
      <c r="AX17" s="54">
        <f>-AX$13*Assumptions!$N16</f>
        <v>-2007.648588</v>
      </c>
      <c r="AY17" s="54">
        <f>-AY$13*Assumptions!$N16</f>
        <v>-2007.648588</v>
      </c>
      <c r="AZ17" s="54">
        <f>-AZ$13*Assumptions!$N16</f>
        <v>-2067.878045</v>
      </c>
      <c r="BA17" s="54">
        <f>-BA$13*Assumptions!$N16</f>
        <v>-2067.878045</v>
      </c>
      <c r="BB17" s="54">
        <f>-BB$13*Assumptions!$N16</f>
        <v>-2067.878045</v>
      </c>
      <c r="BC17" s="54">
        <f>-BC$13*Assumptions!$N16</f>
        <v>-2067.878045</v>
      </c>
      <c r="BD17" s="54">
        <f>-BD$13*Assumptions!$N16</f>
        <v>-2067.878045</v>
      </c>
      <c r="BE17" s="54">
        <f>-BE$13*Assumptions!$N16</f>
        <v>-2067.878045</v>
      </c>
      <c r="BF17" s="54">
        <f>-BF$13*Assumptions!$N16</f>
        <v>-2067.878045</v>
      </c>
      <c r="BG17" s="54">
        <f>-BG$13*Assumptions!$N16</f>
        <v>-2067.878045</v>
      </c>
      <c r="BH17" s="54">
        <f>-BH$13*Assumptions!$N16</f>
        <v>-2067.878045</v>
      </c>
      <c r="BI17" s="54">
        <f>-BI$13*Assumptions!$N16</f>
        <v>-2067.878045</v>
      </c>
      <c r="BJ17" s="54">
        <f>-BJ$13*Assumptions!$N16</f>
        <v>-2067.878045</v>
      </c>
      <c r="BK17" s="54">
        <f>-BK$13*Assumptions!$N16</f>
        <v>-2067.878045</v>
      </c>
      <c r="BL17" s="54">
        <f>-BL$13*Assumptions!$N16</f>
        <v>-2129.914387</v>
      </c>
      <c r="BM17" s="54">
        <f>-BM$13*Assumptions!$N16</f>
        <v>-2129.914387</v>
      </c>
      <c r="BN17" s="54">
        <f>-BN$13*Assumptions!$N16</f>
        <v>-2129.914387</v>
      </c>
      <c r="BO17" s="54">
        <f>-BO$13*Assumptions!$N16</f>
        <v>-2129.914387</v>
      </c>
      <c r="BP17" s="54">
        <f>-BP$13*Assumptions!$N16</f>
        <v>-2129.914387</v>
      </c>
      <c r="BQ17" s="54">
        <f>-BQ$13*Assumptions!$N16</f>
        <v>-2129.914387</v>
      </c>
      <c r="BR17" s="54">
        <f>-BR$13*Assumptions!$N16</f>
        <v>-2129.914387</v>
      </c>
      <c r="BS17" s="54">
        <f>-BS$13*Assumptions!$N16</f>
        <v>-2129.914387</v>
      </c>
      <c r="BT17" s="54">
        <f>-BT$13*Assumptions!$N16</f>
        <v>-2129.914387</v>
      </c>
      <c r="BU17" s="54">
        <f>-BU$13*Assumptions!$N16</f>
        <v>-2129.914387</v>
      </c>
      <c r="BV17" s="54">
        <f>-BV$13*Assumptions!$N16</f>
        <v>-2129.914387</v>
      </c>
      <c r="BW17" s="54">
        <f>-BW$13*Assumptions!$N16</f>
        <v>-2129.914387</v>
      </c>
      <c r="BX17" s="54">
        <f>-BX$13*Assumptions!$N16</f>
        <v>-2193.811818</v>
      </c>
      <c r="BY17" s="54">
        <f>-BY$13*Assumptions!$N16</f>
        <v>-2193.811818</v>
      </c>
      <c r="BZ17" s="54">
        <f>-BZ$13*Assumptions!$N16</f>
        <v>-2193.811818</v>
      </c>
      <c r="CA17" s="54">
        <f>-CA$13*Assumptions!$N16</f>
        <v>-2193.811818</v>
      </c>
      <c r="CB17" s="54">
        <f>-CB$13*Assumptions!$N16</f>
        <v>-2193.811818</v>
      </c>
      <c r="CC17" s="54">
        <f>-CC$13*Assumptions!$N16</f>
        <v>-2193.811818</v>
      </c>
      <c r="CD17" s="54">
        <f>-CD$13*Assumptions!$N16</f>
        <v>-2193.811818</v>
      </c>
      <c r="CE17" s="54">
        <f>-CE$13*Assumptions!$N16</f>
        <v>-2193.811818</v>
      </c>
      <c r="CF17" s="54">
        <f>-CF$13*Assumptions!$N16</f>
        <v>-2193.811818</v>
      </c>
      <c r="CG17" s="54">
        <f>-CG$13*Assumptions!$N16</f>
        <v>-2193.811818</v>
      </c>
      <c r="CH17" s="54">
        <f>-CH$13*Assumptions!$N16</f>
        <v>-2193.811818</v>
      </c>
      <c r="CI17" s="54">
        <f>-CI$13*Assumptions!$N16</f>
        <v>-2193.811818</v>
      </c>
      <c r="CJ17" s="54">
        <f>-CJ$13*Assumptions!$N16</f>
        <v>-2259.626173</v>
      </c>
      <c r="CK17" s="54">
        <f>-CK$13*Assumptions!$N16</f>
        <v>-2259.626173</v>
      </c>
      <c r="CL17" s="54">
        <f>-CL$13*Assumptions!$N16</f>
        <v>-2259.626173</v>
      </c>
      <c r="CM17" s="54">
        <f>-CM$13*Assumptions!$N16</f>
        <v>-2259.626173</v>
      </c>
      <c r="CN17" s="54">
        <f>-CN$13*Assumptions!$N16</f>
        <v>-2259.626173</v>
      </c>
      <c r="CO17" s="54">
        <f>-CO$13*Assumptions!$N16</f>
        <v>-2259.626173</v>
      </c>
      <c r="CP17" s="54">
        <f>-CP$13*Assumptions!$N16</f>
        <v>-2259.626173</v>
      </c>
      <c r="CQ17" s="54">
        <f>-CQ$13*Assumptions!$N16</f>
        <v>-2259.626173</v>
      </c>
      <c r="CR17" s="54">
        <f>-CR$13*Assumptions!$N16</f>
        <v>-2259.626173</v>
      </c>
      <c r="CS17" s="54">
        <f>-CS$13*Assumptions!$N16</f>
        <v>-2259.626173</v>
      </c>
      <c r="CT17" s="54">
        <f>-CT$13*Assumptions!$N16</f>
        <v>-2259.626173</v>
      </c>
      <c r="CU17" s="54">
        <f>-CU$13*Assumptions!$N16</f>
        <v>-2259.626173</v>
      </c>
      <c r="CV17" s="54">
        <f>-CV$13*Assumptions!$N16</f>
        <v>-2327.414958</v>
      </c>
      <c r="CW17" s="54">
        <f>-CW$13*Assumptions!$N16</f>
        <v>-2327.414958</v>
      </c>
      <c r="CX17" s="54">
        <f>-CX$13*Assumptions!$N16</f>
        <v>-2327.414958</v>
      </c>
      <c r="CY17" s="54">
        <f>-CY$13*Assumptions!$N16</f>
        <v>-2327.414958</v>
      </c>
      <c r="CZ17" s="54">
        <f>-CZ$13*Assumptions!$N16</f>
        <v>-2327.414958</v>
      </c>
      <c r="DA17" s="54">
        <f>-DA$13*Assumptions!$N16</f>
        <v>-2327.414958</v>
      </c>
      <c r="DB17" s="54">
        <f>-DB$13*Assumptions!$N16</f>
        <v>-2327.414958</v>
      </c>
      <c r="DC17" s="54">
        <f>-DC$13*Assumptions!$N16</f>
        <v>-2327.414958</v>
      </c>
      <c r="DD17" s="54">
        <f>-DD$13*Assumptions!$N16</f>
        <v>-2327.414958</v>
      </c>
      <c r="DE17" s="54">
        <f>-DE$13*Assumptions!$N16</f>
        <v>-2327.414958</v>
      </c>
      <c r="DF17" s="54">
        <f>-DF$13*Assumptions!$N16</f>
        <v>-2327.414958</v>
      </c>
      <c r="DG17" s="54">
        <f>-DG$13*Assumptions!$N16</f>
        <v>-2327.414958</v>
      </c>
      <c r="DH17" s="54">
        <f>-DH$13*Assumptions!$N16</f>
        <v>-2397.237407</v>
      </c>
      <c r="DI17" s="54">
        <f>-DI$13*Assumptions!$N16</f>
        <v>-2397.237407</v>
      </c>
      <c r="DJ17" s="54">
        <f>-DJ$13*Assumptions!$N16</f>
        <v>-2397.237407</v>
      </c>
      <c r="DK17" s="54">
        <f>-DK$13*Assumptions!$N16</f>
        <v>-2397.237407</v>
      </c>
      <c r="DL17" s="54">
        <f>-DL$13*Assumptions!$N16</f>
        <v>-2397.237407</v>
      </c>
      <c r="DM17" s="54">
        <f>-DM$13*Assumptions!$N16</f>
        <v>-2397.237407</v>
      </c>
      <c r="DN17" s="54">
        <f>-DN$13*Assumptions!$N16</f>
        <v>-2397.237407</v>
      </c>
      <c r="DO17" s="54">
        <f>-DO$13*Assumptions!$N16</f>
        <v>-2397.237407</v>
      </c>
      <c r="DP17" s="54">
        <f>-DP$13*Assumptions!$N16</f>
        <v>-2397.237407</v>
      </c>
      <c r="DQ17" s="54">
        <f>-DQ$13*Assumptions!$N16</f>
        <v>-2397.237407</v>
      </c>
      <c r="DR17" s="54">
        <f>-DR$13*Assumptions!$N16</f>
        <v>-2397.237407</v>
      </c>
      <c r="DS17" s="54">
        <f>-DS$13*Assumptions!$N16</f>
        <v>-2397.237407</v>
      </c>
      <c r="DT17" s="54">
        <f>-DT$13*Assumptions!$N16</f>
        <v>-2469.154529</v>
      </c>
      <c r="DU17" s="54">
        <f>-DU$13*Assumptions!$N16</f>
        <v>-2469.154529</v>
      </c>
      <c r="DV17" s="54">
        <f>-DV$13*Assumptions!$N16</f>
        <v>-2469.154529</v>
      </c>
      <c r="DW17" s="54">
        <f>-DW$13*Assumptions!$N16</f>
        <v>-2469.154529</v>
      </c>
      <c r="DX17" s="54">
        <f>-DX$13*Assumptions!$N16</f>
        <v>-2469.154529</v>
      </c>
      <c r="DY17" s="54">
        <f>-DY$13*Assumptions!$N16</f>
        <v>-2469.154529</v>
      </c>
      <c r="DZ17" s="54">
        <f>-DZ$13*Assumptions!$N16</f>
        <v>-2469.154529</v>
      </c>
      <c r="EA17" s="54">
        <f>-EA$13*Assumptions!$N16</f>
        <v>-2469.154529</v>
      </c>
      <c r="EB17" s="54">
        <f>-EB$13*Assumptions!$N16</f>
        <v>-2469.154529</v>
      </c>
      <c r="EC17" s="54">
        <f>-EC$13*Assumptions!$N16</f>
        <v>-2469.154529</v>
      </c>
      <c r="ED17" s="54">
        <f>-ED$13*Assumptions!$N16</f>
        <v>-2469.154529</v>
      </c>
      <c r="EE17" s="54">
        <f>-EE$13*Assumptions!$N16</f>
        <v>-2469.154529</v>
      </c>
    </row>
    <row r="18" ht="15.75" customHeight="1">
      <c r="A18" s="1"/>
      <c r="B18" s="6"/>
      <c r="C18" s="63" t="s">
        <v>63</v>
      </c>
      <c r="D18" s="207">
        <f t="shared" ref="D18:EE18" si="4">D13+D15+D16+D17</f>
        <v>170867.306</v>
      </c>
      <c r="E18" s="207">
        <f t="shared" si="4"/>
        <v>170867.306</v>
      </c>
      <c r="F18" s="207">
        <f t="shared" si="4"/>
        <v>170867.306</v>
      </c>
      <c r="G18" s="207">
        <f t="shared" si="4"/>
        <v>170867.306</v>
      </c>
      <c r="H18" s="207">
        <f t="shared" si="4"/>
        <v>170867.306</v>
      </c>
      <c r="I18" s="207">
        <f t="shared" si="4"/>
        <v>170867.306</v>
      </c>
      <c r="J18" s="207">
        <f t="shared" si="4"/>
        <v>170867.306</v>
      </c>
      <c r="K18" s="207">
        <f t="shared" si="4"/>
        <v>170867.306</v>
      </c>
      <c r="L18" s="207">
        <f t="shared" si="4"/>
        <v>170867.306</v>
      </c>
      <c r="M18" s="207">
        <f t="shared" si="4"/>
        <v>170867.306</v>
      </c>
      <c r="N18" s="207">
        <f t="shared" si="4"/>
        <v>170867.306</v>
      </c>
      <c r="O18" s="207">
        <f t="shared" si="4"/>
        <v>170867.306</v>
      </c>
      <c r="P18" s="207">
        <f t="shared" si="4"/>
        <v>181670.5292</v>
      </c>
      <c r="Q18" s="207">
        <f t="shared" si="4"/>
        <v>181670.5292</v>
      </c>
      <c r="R18" s="207">
        <f t="shared" si="4"/>
        <v>181670.5292</v>
      </c>
      <c r="S18" s="207">
        <f t="shared" si="4"/>
        <v>181670.5292</v>
      </c>
      <c r="T18" s="207">
        <f t="shared" si="4"/>
        <v>181670.5292</v>
      </c>
      <c r="U18" s="207">
        <f t="shared" si="4"/>
        <v>181670.5292</v>
      </c>
      <c r="V18" s="207">
        <f t="shared" si="4"/>
        <v>181670.5292</v>
      </c>
      <c r="W18" s="207">
        <f t="shared" si="4"/>
        <v>181670.5292</v>
      </c>
      <c r="X18" s="207">
        <f t="shared" si="4"/>
        <v>181670.5292</v>
      </c>
      <c r="Y18" s="207">
        <f t="shared" si="4"/>
        <v>181670.5292</v>
      </c>
      <c r="Z18" s="207">
        <f t="shared" si="4"/>
        <v>181670.5292</v>
      </c>
      <c r="AA18" s="207">
        <f t="shared" si="4"/>
        <v>181670.5292</v>
      </c>
      <c r="AB18" s="207">
        <f t="shared" si="4"/>
        <v>187120.6451</v>
      </c>
      <c r="AC18" s="207">
        <f t="shared" si="4"/>
        <v>187120.6451</v>
      </c>
      <c r="AD18" s="207">
        <f t="shared" si="4"/>
        <v>187120.6451</v>
      </c>
      <c r="AE18" s="207">
        <f t="shared" si="4"/>
        <v>187120.6451</v>
      </c>
      <c r="AF18" s="207">
        <f t="shared" si="4"/>
        <v>187120.6451</v>
      </c>
      <c r="AG18" s="207">
        <f t="shared" si="4"/>
        <v>187120.6451</v>
      </c>
      <c r="AH18" s="207">
        <f t="shared" si="4"/>
        <v>187120.6451</v>
      </c>
      <c r="AI18" s="207">
        <f t="shared" si="4"/>
        <v>187120.6451</v>
      </c>
      <c r="AJ18" s="207">
        <f t="shared" si="4"/>
        <v>187120.6451</v>
      </c>
      <c r="AK18" s="207">
        <f t="shared" si="4"/>
        <v>187120.6451</v>
      </c>
      <c r="AL18" s="207">
        <f t="shared" si="4"/>
        <v>187120.6451</v>
      </c>
      <c r="AM18" s="207">
        <f t="shared" si="4"/>
        <v>187120.6451</v>
      </c>
      <c r="AN18" s="207">
        <f t="shared" si="4"/>
        <v>192734.2644</v>
      </c>
      <c r="AO18" s="207">
        <f t="shared" si="4"/>
        <v>192734.2644</v>
      </c>
      <c r="AP18" s="207">
        <f t="shared" si="4"/>
        <v>192734.2644</v>
      </c>
      <c r="AQ18" s="207">
        <f t="shared" si="4"/>
        <v>192734.2644</v>
      </c>
      <c r="AR18" s="207">
        <f t="shared" si="4"/>
        <v>192734.2644</v>
      </c>
      <c r="AS18" s="207">
        <f t="shared" si="4"/>
        <v>192734.2644</v>
      </c>
      <c r="AT18" s="207">
        <f t="shared" si="4"/>
        <v>192734.2644</v>
      </c>
      <c r="AU18" s="207">
        <f t="shared" si="4"/>
        <v>192734.2644</v>
      </c>
      <c r="AV18" s="207">
        <f t="shared" si="4"/>
        <v>192734.2644</v>
      </c>
      <c r="AW18" s="207">
        <f t="shared" si="4"/>
        <v>192734.2644</v>
      </c>
      <c r="AX18" s="207">
        <f t="shared" si="4"/>
        <v>192734.2644</v>
      </c>
      <c r="AY18" s="207">
        <f t="shared" si="4"/>
        <v>192734.2644</v>
      </c>
      <c r="AZ18" s="207">
        <f t="shared" si="4"/>
        <v>198516.2924</v>
      </c>
      <c r="BA18" s="207">
        <f t="shared" si="4"/>
        <v>198516.2924</v>
      </c>
      <c r="BB18" s="207">
        <f t="shared" si="4"/>
        <v>198516.2924</v>
      </c>
      <c r="BC18" s="207">
        <f t="shared" si="4"/>
        <v>198516.2924</v>
      </c>
      <c r="BD18" s="207">
        <f t="shared" si="4"/>
        <v>198516.2924</v>
      </c>
      <c r="BE18" s="207">
        <f t="shared" si="4"/>
        <v>198516.2924</v>
      </c>
      <c r="BF18" s="207">
        <f t="shared" si="4"/>
        <v>198516.2924</v>
      </c>
      <c r="BG18" s="207">
        <f t="shared" si="4"/>
        <v>198516.2924</v>
      </c>
      <c r="BH18" s="207">
        <f t="shared" si="4"/>
        <v>198516.2924</v>
      </c>
      <c r="BI18" s="207">
        <f t="shared" si="4"/>
        <v>198516.2924</v>
      </c>
      <c r="BJ18" s="207">
        <f t="shared" si="4"/>
        <v>198516.2924</v>
      </c>
      <c r="BK18" s="207">
        <f t="shared" si="4"/>
        <v>198516.2924</v>
      </c>
      <c r="BL18" s="207">
        <f t="shared" si="4"/>
        <v>204471.7811</v>
      </c>
      <c r="BM18" s="207">
        <f t="shared" si="4"/>
        <v>204471.7811</v>
      </c>
      <c r="BN18" s="207">
        <f t="shared" si="4"/>
        <v>204471.7811</v>
      </c>
      <c r="BO18" s="207">
        <f t="shared" si="4"/>
        <v>204471.7811</v>
      </c>
      <c r="BP18" s="207">
        <f t="shared" si="4"/>
        <v>204471.7811</v>
      </c>
      <c r="BQ18" s="207">
        <f t="shared" si="4"/>
        <v>204471.7811</v>
      </c>
      <c r="BR18" s="207">
        <f t="shared" si="4"/>
        <v>204471.7811</v>
      </c>
      <c r="BS18" s="207">
        <f t="shared" si="4"/>
        <v>204471.7811</v>
      </c>
      <c r="BT18" s="207">
        <f t="shared" si="4"/>
        <v>204471.7811</v>
      </c>
      <c r="BU18" s="207">
        <f t="shared" si="4"/>
        <v>204471.7811</v>
      </c>
      <c r="BV18" s="207">
        <f t="shared" si="4"/>
        <v>204471.7811</v>
      </c>
      <c r="BW18" s="207">
        <f t="shared" si="4"/>
        <v>204471.7811</v>
      </c>
      <c r="BX18" s="207">
        <f t="shared" si="4"/>
        <v>210605.9346</v>
      </c>
      <c r="BY18" s="207">
        <f t="shared" si="4"/>
        <v>210605.9346</v>
      </c>
      <c r="BZ18" s="207">
        <f t="shared" si="4"/>
        <v>210605.9346</v>
      </c>
      <c r="CA18" s="207">
        <f t="shared" si="4"/>
        <v>210605.9346</v>
      </c>
      <c r="CB18" s="207">
        <f t="shared" si="4"/>
        <v>210605.9346</v>
      </c>
      <c r="CC18" s="207">
        <f t="shared" si="4"/>
        <v>210605.9346</v>
      </c>
      <c r="CD18" s="207">
        <f t="shared" si="4"/>
        <v>210605.9346</v>
      </c>
      <c r="CE18" s="207">
        <f t="shared" si="4"/>
        <v>210605.9346</v>
      </c>
      <c r="CF18" s="207">
        <f t="shared" si="4"/>
        <v>210605.9346</v>
      </c>
      <c r="CG18" s="207">
        <f t="shared" si="4"/>
        <v>210605.9346</v>
      </c>
      <c r="CH18" s="207">
        <f t="shared" si="4"/>
        <v>210605.9346</v>
      </c>
      <c r="CI18" s="207">
        <f t="shared" si="4"/>
        <v>210605.9346</v>
      </c>
      <c r="CJ18" s="207">
        <f t="shared" si="4"/>
        <v>216924.1126</v>
      </c>
      <c r="CK18" s="207">
        <f t="shared" si="4"/>
        <v>216924.1126</v>
      </c>
      <c r="CL18" s="207">
        <f t="shared" si="4"/>
        <v>216924.1126</v>
      </c>
      <c r="CM18" s="207">
        <f t="shared" si="4"/>
        <v>216924.1126</v>
      </c>
      <c r="CN18" s="207">
        <f t="shared" si="4"/>
        <v>216924.1126</v>
      </c>
      <c r="CO18" s="207">
        <f t="shared" si="4"/>
        <v>216924.1126</v>
      </c>
      <c r="CP18" s="207">
        <f t="shared" si="4"/>
        <v>216924.1126</v>
      </c>
      <c r="CQ18" s="207">
        <f t="shared" si="4"/>
        <v>216924.1126</v>
      </c>
      <c r="CR18" s="207">
        <f t="shared" si="4"/>
        <v>216924.1126</v>
      </c>
      <c r="CS18" s="207">
        <f t="shared" si="4"/>
        <v>216924.1126</v>
      </c>
      <c r="CT18" s="207">
        <f t="shared" si="4"/>
        <v>216924.1126</v>
      </c>
      <c r="CU18" s="207">
        <f t="shared" si="4"/>
        <v>216924.1126</v>
      </c>
      <c r="CV18" s="207">
        <f t="shared" si="4"/>
        <v>223431.836</v>
      </c>
      <c r="CW18" s="207">
        <f t="shared" si="4"/>
        <v>223431.836</v>
      </c>
      <c r="CX18" s="207">
        <f t="shared" si="4"/>
        <v>223431.836</v>
      </c>
      <c r="CY18" s="207">
        <f t="shared" si="4"/>
        <v>223431.836</v>
      </c>
      <c r="CZ18" s="207">
        <f t="shared" si="4"/>
        <v>223431.836</v>
      </c>
      <c r="DA18" s="207">
        <f t="shared" si="4"/>
        <v>223431.836</v>
      </c>
      <c r="DB18" s="207">
        <f t="shared" si="4"/>
        <v>223431.836</v>
      </c>
      <c r="DC18" s="207">
        <f t="shared" si="4"/>
        <v>223431.836</v>
      </c>
      <c r="DD18" s="207">
        <f t="shared" si="4"/>
        <v>223431.836</v>
      </c>
      <c r="DE18" s="207">
        <f t="shared" si="4"/>
        <v>223431.836</v>
      </c>
      <c r="DF18" s="207">
        <f t="shared" si="4"/>
        <v>223431.836</v>
      </c>
      <c r="DG18" s="207">
        <f t="shared" si="4"/>
        <v>223431.836</v>
      </c>
      <c r="DH18" s="207">
        <f t="shared" si="4"/>
        <v>230134.7911</v>
      </c>
      <c r="DI18" s="207">
        <f t="shared" si="4"/>
        <v>230134.7911</v>
      </c>
      <c r="DJ18" s="207">
        <f t="shared" si="4"/>
        <v>230134.7911</v>
      </c>
      <c r="DK18" s="207">
        <f t="shared" si="4"/>
        <v>230134.7911</v>
      </c>
      <c r="DL18" s="207">
        <f t="shared" si="4"/>
        <v>230134.7911</v>
      </c>
      <c r="DM18" s="207">
        <f t="shared" si="4"/>
        <v>230134.7911</v>
      </c>
      <c r="DN18" s="207">
        <f t="shared" si="4"/>
        <v>230134.7911</v>
      </c>
      <c r="DO18" s="207">
        <f t="shared" si="4"/>
        <v>230134.7911</v>
      </c>
      <c r="DP18" s="207">
        <f t="shared" si="4"/>
        <v>230134.7911</v>
      </c>
      <c r="DQ18" s="207">
        <f t="shared" si="4"/>
        <v>230134.7911</v>
      </c>
      <c r="DR18" s="207">
        <f t="shared" si="4"/>
        <v>230134.7911</v>
      </c>
      <c r="DS18" s="207">
        <f t="shared" si="4"/>
        <v>230134.7911</v>
      </c>
      <c r="DT18" s="207">
        <f t="shared" si="4"/>
        <v>229631.3712</v>
      </c>
      <c r="DU18" s="207">
        <f t="shared" si="4"/>
        <v>229631.3712</v>
      </c>
      <c r="DV18" s="207">
        <f t="shared" si="4"/>
        <v>229631.3712</v>
      </c>
      <c r="DW18" s="207">
        <f t="shared" si="4"/>
        <v>229631.3712</v>
      </c>
      <c r="DX18" s="207">
        <f t="shared" si="4"/>
        <v>229631.3712</v>
      </c>
      <c r="DY18" s="207">
        <f t="shared" si="4"/>
        <v>229631.3712</v>
      </c>
      <c r="DZ18" s="207">
        <f t="shared" si="4"/>
        <v>229631.3712</v>
      </c>
      <c r="EA18" s="207">
        <f t="shared" si="4"/>
        <v>229631.3712</v>
      </c>
      <c r="EB18" s="207">
        <f t="shared" si="4"/>
        <v>229631.3712</v>
      </c>
      <c r="EC18" s="207">
        <f t="shared" si="4"/>
        <v>229631.3712</v>
      </c>
      <c r="ED18" s="207">
        <f t="shared" si="4"/>
        <v>229631.3712</v>
      </c>
      <c r="EE18" s="207">
        <f t="shared" si="4"/>
        <v>229631.3712</v>
      </c>
    </row>
    <row r="19" ht="15.75" customHeight="1">
      <c r="A19" s="1"/>
      <c r="B19" s="1"/>
      <c r="C19" s="1" t="str">
        <f>Assumptions!J19</f>
        <v>Other Income</v>
      </c>
      <c r="D19" s="54">
        <f t="array" ref="D19">IF(D$2=1,Assumptions!$P19/12,(SUMIF($D$2:$EE$2,D$2-1,$D19:$EE19)/12)*(1+XLOOKUP(D$2,Assumptions!$C$94:$M$94,Assumptions!$C$96:$M$96)))</f>
        <v>22896.95923</v>
      </c>
      <c r="E19" s="54">
        <f t="array" ref="E19">IF(E$2=1,Assumptions!$P19/12,(SUMIF($D$2:$EE$2,E$2-1,$D19:$EE19)/12)*(1+XLOOKUP(E$2,Assumptions!$C$94:$M$94,Assumptions!$C$96:$M$96)))</f>
        <v>22896.95923</v>
      </c>
      <c r="F19" s="54">
        <f t="array" ref="F19">IF(F$2=1,Assumptions!$P19/12,(SUMIF($D$2:$EE$2,F$2-1,$D19:$EE19)/12)*(1+XLOOKUP(F$2,Assumptions!$C$94:$M$94,Assumptions!$C$96:$M$96)))</f>
        <v>22896.95923</v>
      </c>
      <c r="G19" s="54">
        <f t="array" ref="G19">IF(G$2=1,Assumptions!$P19/12,(SUMIF($D$2:$EE$2,G$2-1,$D19:$EE19)/12)*(1+XLOOKUP(G$2,Assumptions!$C$94:$M$94,Assumptions!$C$96:$M$96)))</f>
        <v>22896.95923</v>
      </c>
      <c r="H19" s="54">
        <f t="array" ref="H19">IF(H$2=1,Assumptions!$P19/12,(SUMIF($D$2:$EE$2,H$2-1,$D19:$EE19)/12)*(1+XLOOKUP(H$2,Assumptions!$C$94:$M$94,Assumptions!$C$96:$M$96)))</f>
        <v>22896.95923</v>
      </c>
      <c r="I19" s="54">
        <f t="array" ref="I19">IF(I$2=1,Assumptions!$P19/12,(SUMIF($D$2:$EE$2,I$2-1,$D19:$EE19)/12)*(1+XLOOKUP(I$2,Assumptions!$C$94:$M$94,Assumptions!$C$96:$M$96)))</f>
        <v>22896.95923</v>
      </c>
      <c r="J19" s="54">
        <f t="array" ref="J19">IF(J$2=1,Assumptions!$P19/12,(SUMIF($D$2:$EE$2,J$2-1,$D19:$EE19)/12)*(1+XLOOKUP(J$2,Assumptions!$C$94:$M$94,Assumptions!$C$96:$M$96)))</f>
        <v>22896.95923</v>
      </c>
      <c r="K19" s="54">
        <f t="array" ref="K19">IF(K$2=1,Assumptions!$P19/12,(SUMIF($D$2:$EE$2,K$2-1,$D19:$EE19)/12)*(1+XLOOKUP(K$2,Assumptions!$C$94:$M$94,Assumptions!$C$96:$M$96)))</f>
        <v>22896.95923</v>
      </c>
      <c r="L19" s="54">
        <f t="array" ref="L19">IF(L$2=1,Assumptions!$P19/12,(SUMIF($D$2:$EE$2,L$2-1,$D19:$EE19)/12)*(1+XLOOKUP(L$2,Assumptions!$C$94:$M$94,Assumptions!$C$96:$M$96)))</f>
        <v>22896.95923</v>
      </c>
      <c r="M19" s="54">
        <f t="array" ref="M19">IF(M$2=1,Assumptions!$P19/12,(SUMIF($D$2:$EE$2,M$2-1,$D19:$EE19)/12)*(1+XLOOKUP(M$2,Assumptions!$C$94:$M$94,Assumptions!$C$96:$M$96)))</f>
        <v>22896.95923</v>
      </c>
      <c r="N19" s="54">
        <f t="array" ref="N19">IF(N$2=1,Assumptions!$P19/12,(SUMIF($D$2:$EE$2,N$2-1,$D19:$EE19)/12)*(1+XLOOKUP(N$2,Assumptions!$C$94:$M$94,Assumptions!$C$96:$M$96)))</f>
        <v>22896.95923</v>
      </c>
      <c r="O19" s="54">
        <f t="array" ref="O19">IF(O$2=1,Assumptions!$P19/12,(SUMIF($D$2:$EE$2,O$2-1,$D19:$EE19)/12)*(1+XLOOKUP(O$2,Assumptions!$C$94:$M$94,Assumptions!$C$96:$M$96)))</f>
        <v>22896.95923</v>
      </c>
      <c r="P19" s="54">
        <f t="array" ref="P19">IF(P$2=1,Assumptions!$P19/12,(SUMIF($D$2:$EE$2,P$2-1,$D19:$EE19)/12)*(1+XLOOKUP(P$2,Assumptions!$C$94:$M$94,Assumptions!$C$96:$M$96)))</f>
        <v>23583.868</v>
      </c>
      <c r="Q19" s="54">
        <f t="array" ref="Q19">IF(Q$2=1,Assumptions!$P19/12,(SUMIF($D$2:$EE$2,Q$2-1,$D19:$EE19)/12)*(1+XLOOKUP(Q$2,Assumptions!$C$94:$M$94,Assumptions!$C$96:$M$96)))</f>
        <v>23583.868</v>
      </c>
      <c r="R19" s="54">
        <f t="array" ref="R19">IF(R$2=1,Assumptions!$P19/12,(SUMIF($D$2:$EE$2,R$2-1,$D19:$EE19)/12)*(1+XLOOKUP(R$2,Assumptions!$C$94:$M$94,Assumptions!$C$96:$M$96)))</f>
        <v>23583.868</v>
      </c>
      <c r="S19" s="54">
        <f t="array" ref="S19">IF(S$2=1,Assumptions!$P19/12,(SUMIF($D$2:$EE$2,S$2-1,$D19:$EE19)/12)*(1+XLOOKUP(S$2,Assumptions!$C$94:$M$94,Assumptions!$C$96:$M$96)))</f>
        <v>23583.868</v>
      </c>
      <c r="T19" s="54">
        <f t="array" ref="T19">IF(T$2=1,Assumptions!$P19/12,(SUMIF($D$2:$EE$2,T$2-1,$D19:$EE19)/12)*(1+XLOOKUP(T$2,Assumptions!$C$94:$M$94,Assumptions!$C$96:$M$96)))</f>
        <v>23583.868</v>
      </c>
      <c r="U19" s="54">
        <f t="array" ref="U19">IF(U$2=1,Assumptions!$P19/12,(SUMIF($D$2:$EE$2,U$2-1,$D19:$EE19)/12)*(1+XLOOKUP(U$2,Assumptions!$C$94:$M$94,Assumptions!$C$96:$M$96)))</f>
        <v>23583.868</v>
      </c>
      <c r="V19" s="54">
        <f t="array" ref="V19">IF(V$2=1,Assumptions!$P19/12,(SUMIF($D$2:$EE$2,V$2-1,$D19:$EE19)/12)*(1+XLOOKUP(V$2,Assumptions!$C$94:$M$94,Assumptions!$C$96:$M$96)))</f>
        <v>23583.868</v>
      </c>
      <c r="W19" s="54">
        <f t="array" ref="W19">IF(W$2=1,Assumptions!$P19/12,(SUMIF($D$2:$EE$2,W$2-1,$D19:$EE19)/12)*(1+XLOOKUP(W$2,Assumptions!$C$94:$M$94,Assumptions!$C$96:$M$96)))</f>
        <v>23583.868</v>
      </c>
      <c r="X19" s="54">
        <f t="array" ref="X19">IF(X$2=1,Assumptions!$P19/12,(SUMIF($D$2:$EE$2,X$2-1,$D19:$EE19)/12)*(1+XLOOKUP(X$2,Assumptions!$C$94:$M$94,Assumptions!$C$96:$M$96)))</f>
        <v>23583.868</v>
      </c>
      <c r="Y19" s="54">
        <f t="array" ref="Y19">IF(Y$2=1,Assumptions!$P19/12,(SUMIF($D$2:$EE$2,Y$2-1,$D19:$EE19)/12)*(1+XLOOKUP(Y$2,Assumptions!$C$94:$M$94,Assumptions!$C$96:$M$96)))</f>
        <v>23583.868</v>
      </c>
      <c r="Z19" s="54">
        <f t="array" ref="Z19">IF(Z$2=1,Assumptions!$P19/12,(SUMIF($D$2:$EE$2,Z$2-1,$D19:$EE19)/12)*(1+XLOOKUP(Z$2,Assumptions!$C$94:$M$94,Assumptions!$C$96:$M$96)))</f>
        <v>23583.868</v>
      </c>
      <c r="AA19" s="54">
        <f t="array" ref="AA19">IF(AA$2=1,Assumptions!$P19/12,(SUMIF($D$2:$EE$2,AA$2-1,$D19:$EE19)/12)*(1+XLOOKUP(AA$2,Assumptions!$C$94:$M$94,Assumptions!$C$96:$M$96)))</f>
        <v>23583.868</v>
      </c>
      <c r="AB19" s="54">
        <f t="array" ref="AB19">IF(AB$2=1,Assumptions!$P19/12,(SUMIF($D$2:$EE$2,AB$2-1,$D19:$EE19)/12)*(1+XLOOKUP(AB$2,Assumptions!$C$94:$M$94,Assumptions!$C$96:$M$96)))</f>
        <v>24291.38404</v>
      </c>
      <c r="AC19" s="54">
        <f t="array" ref="AC19">IF(AC$2=1,Assumptions!$P19/12,(SUMIF($D$2:$EE$2,AC$2-1,$D19:$EE19)/12)*(1+XLOOKUP(AC$2,Assumptions!$C$94:$M$94,Assumptions!$C$96:$M$96)))</f>
        <v>24291.38404</v>
      </c>
      <c r="AD19" s="54">
        <f t="array" ref="AD19">IF(AD$2=1,Assumptions!$P19/12,(SUMIF($D$2:$EE$2,AD$2-1,$D19:$EE19)/12)*(1+XLOOKUP(AD$2,Assumptions!$C$94:$M$94,Assumptions!$C$96:$M$96)))</f>
        <v>24291.38404</v>
      </c>
      <c r="AE19" s="54">
        <f t="array" ref="AE19">IF(AE$2=1,Assumptions!$P19/12,(SUMIF($D$2:$EE$2,AE$2-1,$D19:$EE19)/12)*(1+XLOOKUP(AE$2,Assumptions!$C$94:$M$94,Assumptions!$C$96:$M$96)))</f>
        <v>24291.38404</v>
      </c>
      <c r="AF19" s="54">
        <f t="array" ref="AF19">IF(AF$2=1,Assumptions!$P19/12,(SUMIF($D$2:$EE$2,AF$2-1,$D19:$EE19)/12)*(1+XLOOKUP(AF$2,Assumptions!$C$94:$M$94,Assumptions!$C$96:$M$96)))</f>
        <v>24291.38404</v>
      </c>
      <c r="AG19" s="54">
        <f t="array" ref="AG19">IF(AG$2=1,Assumptions!$P19/12,(SUMIF($D$2:$EE$2,AG$2-1,$D19:$EE19)/12)*(1+XLOOKUP(AG$2,Assumptions!$C$94:$M$94,Assumptions!$C$96:$M$96)))</f>
        <v>24291.38404</v>
      </c>
      <c r="AH19" s="54">
        <f t="array" ref="AH19">IF(AH$2=1,Assumptions!$P19/12,(SUMIF($D$2:$EE$2,AH$2-1,$D19:$EE19)/12)*(1+XLOOKUP(AH$2,Assumptions!$C$94:$M$94,Assumptions!$C$96:$M$96)))</f>
        <v>24291.38404</v>
      </c>
      <c r="AI19" s="54">
        <f t="array" ref="AI19">IF(AI$2=1,Assumptions!$P19/12,(SUMIF($D$2:$EE$2,AI$2-1,$D19:$EE19)/12)*(1+XLOOKUP(AI$2,Assumptions!$C$94:$M$94,Assumptions!$C$96:$M$96)))</f>
        <v>24291.38404</v>
      </c>
      <c r="AJ19" s="54">
        <f t="array" ref="AJ19">IF(AJ$2=1,Assumptions!$P19/12,(SUMIF($D$2:$EE$2,AJ$2-1,$D19:$EE19)/12)*(1+XLOOKUP(AJ$2,Assumptions!$C$94:$M$94,Assumptions!$C$96:$M$96)))</f>
        <v>24291.38404</v>
      </c>
      <c r="AK19" s="54">
        <f t="array" ref="AK19">IF(AK$2=1,Assumptions!$P19/12,(SUMIF($D$2:$EE$2,AK$2-1,$D19:$EE19)/12)*(1+XLOOKUP(AK$2,Assumptions!$C$94:$M$94,Assumptions!$C$96:$M$96)))</f>
        <v>24291.38404</v>
      </c>
      <c r="AL19" s="54">
        <f t="array" ref="AL19">IF(AL$2=1,Assumptions!$P19/12,(SUMIF($D$2:$EE$2,AL$2-1,$D19:$EE19)/12)*(1+XLOOKUP(AL$2,Assumptions!$C$94:$M$94,Assumptions!$C$96:$M$96)))</f>
        <v>24291.38404</v>
      </c>
      <c r="AM19" s="54">
        <f t="array" ref="AM19">IF(AM$2=1,Assumptions!$P19/12,(SUMIF($D$2:$EE$2,AM$2-1,$D19:$EE19)/12)*(1+XLOOKUP(AM$2,Assumptions!$C$94:$M$94,Assumptions!$C$96:$M$96)))</f>
        <v>24291.38404</v>
      </c>
      <c r="AN19" s="54">
        <f t="array" ref="AN19">IF(AN$2=1,Assumptions!$P19/12,(SUMIF($D$2:$EE$2,AN$2-1,$D19:$EE19)/12)*(1+XLOOKUP(AN$2,Assumptions!$C$94:$M$94,Assumptions!$C$96:$M$96)))</f>
        <v>25020.12556</v>
      </c>
      <c r="AO19" s="54">
        <f t="array" ref="AO19">IF(AO$2=1,Assumptions!$P19/12,(SUMIF($D$2:$EE$2,AO$2-1,$D19:$EE19)/12)*(1+XLOOKUP(AO$2,Assumptions!$C$94:$M$94,Assumptions!$C$96:$M$96)))</f>
        <v>25020.12556</v>
      </c>
      <c r="AP19" s="54">
        <f t="array" ref="AP19">IF(AP$2=1,Assumptions!$P19/12,(SUMIF($D$2:$EE$2,AP$2-1,$D19:$EE19)/12)*(1+XLOOKUP(AP$2,Assumptions!$C$94:$M$94,Assumptions!$C$96:$M$96)))</f>
        <v>25020.12556</v>
      </c>
      <c r="AQ19" s="54">
        <f t="array" ref="AQ19">IF(AQ$2=1,Assumptions!$P19/12,(SUMIF($D$2:$EE$2,AQ$2-1,$D19:$EE19)/12)*(1+XLOOKUP(AQ$2,Assumptions!$C$94:$M$94,Assumptions!$C$96:$M$96)))</f>
        <v>25020.12556</v>
      </c>
      <c r="AR19" s="54">
        <f t="array" ref="AR19">IF(AR$2=1,Assumptions!$P19/12,(SUMIF($D$2:$EE$2,AR$2-1,$D19:$EE19)/12)*(1+XLOOKUP(AR$2,Assumptions!$C$94:$M$94,Assumptions!$C$96:$M$96)))</f>
        <v>25020.12556</v>
      </c>
      <c r="AS19" s="54">
        <f t="array" ref="AS19">IF(AS$2=1,Assumptions!$P19/12,(SUMIF($D$2:$EE$2,AS$2-1,$D19:$EE19)/12)*(1+XLOOKUP(AS$2,Assumptions!$C$94:$M$94,Assumptions!$C$96:$M$96)))</f>
        <v>25020.12556</v>
      </c>
      <c r="AT19" s="54">
        <f t="array" ref="AT19">IF(AT$2=1,Assumptions!$P19/12,(SUMIF($D$2:$EE$2,AT$2-1,$D19:$EE19)/12)*(1+XLOOKUP(AT$2,Assumptions!$C$94:$M$94,Assumptions!$C$96:$M$96)))</f>
        <v>25020.12556</v>
      </c>
      <c r="AU19" s="54">
        <f t="array" ref="AU19">IF(AU$2=1,Assumptions!$P19/12,(SUMIF($D$2:$EE$2,AU$2-1,$D19:$EE19)/12)*(1+XLOOKUP(AU$2,Assumptions!$C$94:$M$94,Assumptions!$C$96:$M$96)))</f>
        <v>25020.12556</v>
      </c>
      <c r="AV19" s="54">
        <f t="array" ref="AV19">IF(AV$2=1,Assumptions!$P19/12,(SUMIF($D$2:$EE$2,AV$2-1,$D19:$EE19)/12)*(1+XLOOKUP(AV$2,Assumptions!$C$94:$M$94,Assumptions!$C$96:$M$96)))</f>
        <v>25020.12556</v>
      </c>
      <c r="AW19" s="54">
        <f t="array" ref="AW19">IF(AW$2=1,Assumptions!$P19/12,(SUMIF($D$2:$EE$2,AW$2-1,$D19:$EE19)/12)*(1+XLOOKUP(AW$2,Assumptions!$C$94:$M$94,Assumptions!$C$96:$M$96)))</f>
        <v>25020.12556</v>
      </c>
      <c r="AX19" s="54">
        <f t="array" ref="AX19">IF(AX$2=1,Assumptions!$P19/12,(SUMIF($D$2:$EE$2,AX$2-1,$D19:$EE19)/12)*(1+XLOOKUP(AX$2,Assumptions!$C$94:$M$94,Assumptions!$C$96:$M$96)))</f>
        <v>25020.12556</v>
      </c>
      <c r="AY19" s="54">
        <f t="array" ref="AY19">IF(AY$2=1,Assumptions!$P19/12,(SUMIF($D$2:$EE$2,AY$2-1,$D19:$EE19)/12)*(1+XLOOKUP(AY$2,Assumptions!$C$94:$M$94,Assumptions!$C$96:$M$96)))</f>
        <v>25020.12556</v>
      </c>
      <c r="AZ19" s="54">
        <f t="array" ref="AZ19">IF(AZ$2=1,Assumptions!$P19/12,(SUMIF($D$2:$EE$2,AZ$2-1,$D19:$EE19)/12)*(1+XLOOKUP(AZ$2,Assumptions!$C$94:$M$94,Assumptions!$C$96:$M$96)))</f>
        <v>25770.72933</v>
      </c>
      <c r="BA19" s="54">
        <f t="array" ref="BA19">IF(BA$2=1,Assumptions!$P19/12,(SUMIF($D$2:$EE$2,BA$2-1,$D19:$EE19)/12)*(1+XLOOKUP(BA$2,Assumptions!$C$94:$M$94,Assumptions!$C$96:$M$96)))</f>
        <v>25770.72933</v>
      </c>
      <c r="BB19" s="54">
        <f t="array" ref="BB19">IF(BB$2=1,Assumptions!$P19/12,(SUMIF($D$2:$EE$2,BB$2-1,$D19:$EE19)/12)*(1+XLOOKUP(BB$2,Assumptions!$C$94:$M$94,Assumptions!$C$96:$M$96)))</f>
        <v>25770.72933</v>
      </c>
      <c r="BC19" s="54">
        <f t="array" ref="BC19">IF(BC$2=1,Assumptions!$P19/12,(SUMIF($D$2:$EE$2,BC$2-1,$D19:$EE19)/12)*(1+XLOOKUP(BC$2,Assumptions!$C$94:$M$94,Assumptions!$C$96:$M$96)))</f>
        <v>25770.72933</v>
      </c>
      <c r="BD19" s="54">
        <f t="array" ref="BD19">IF(BD$2=1,Assumptions!$P19/12,(SUMIF($D$2:$EE$2,BD$2-1,$D19:$EE19)/12)*(1+XLOOKUP(BD$2,Assumptions!$C$94:$M$94,Assumptions!$C$96:$M$96)))</f>
        <v>25770.72933</v>
      </c>
      <c r="BE19" s="54">
        <f t="array" ref="BE19">IF(BE$2=1,Assumptions!$P19/12,(SUMIF($D$2:$EE$2,BE$2-1,$D19:$EE19)/12)*(1+XLOOKUP(BE$2,Assumptions!$C$94:$M$94,Assumptions!$C$96:$M$96)))</f>
        <v>25770.72933</v>
      </c>
      <c r="BF19" s="54">
        <f t="array" ref="BF19">IF(BF$2=1,Assumptions!$P19/12,(SUMIF($D$2:$EE$2,BF$2-1,$D19:$EE19)/12)*(1+XLOOKUP(BF$2,Assumptions!$C$94:$M$94,Assumptions!$C$96:$M$96)))</f>
        <v>25770.72933</v>
      </c>
      <c r="BG19" s="54">
        <f t="array" ref="BG19">IF(BG$2=1,Assumptions!$P19/12,(SUMIF($D$2:$EE$2,BG$2-1,$D19:$EE19)/12)*(1+XLOOKUP(BG$2,Assumptions!$C$94:$M$94,Assumptions!$C$96:$M$96)))</f>
        <v>25770.72933</v>
      </c>
      <c r="BH19" s="54">
        <f t="array" ref="BH19">IF(BH$2=1,Assumptions!$P19/12,(SUMIF($D$2:$EE$2,BH$2-1,$D19:$EE19)/12)*(1+XLOOKUP(BH$2,Assumptions!$C$94:$M$94,Assumptions!$C$96:$M$96)))</f>
        <v>25770.72933</v>
      </c>
      <c r="BI19" s="54">
        <f t="array" ref="BI19">IF(BI$2=1,Assumptions!$P19/12,(SUMIF($D$2:$EE$2,BI$2-1,$D19:$EE19)/12)*(1+XLOOKUP(BI$2,Assumptions!$C$94:$M$94,Assumptions!$C$96:$M$96)))</f>
        <v>25770.72933</v>
      </c>
      <c r="BJ19" s="54">
        <f t="array" ref="BJ19">IF(BJ$2=1,Assumptions!$P19/12,(SUMIF($D$2:$EE$2,BJ$2-1,$D19:$EE19)/12)*(1+XLOOKUP(BJ$2,Assumptions!$C$94:$M$94,Assumptions!$C$96:$M$96)))</f>
        <v>25770.72933</v>
      </c>
      <c r="BK19" s="54">
        <f t="array" ref="BK19">IF(BK$2=1,Assumptions!$P19/12,(SUMIF($D$2:$EE$2,BK$2-1,$D19:$EE19)/12)*(1+XLOOKUP(BK$2,Assumptions!$C$94:$M$94,Assumptions!$C$96:$M$96)))</f>
        <v>25770.72933</v>
      </c>
      <c r="BL19" s="54">
        <f t="array" ref="BL19">IF(BL$2=1,Assumptions!$P19/12,(SUMIF($D$2:$EE$2,BL$2-1,$D19:$EE19)/12)*(1+XLOOKUP(BL$2,Assumptions!$C$94:$M$94,Assumptions!$C$96:$M$96)))</f>
        <v>26543.85121</v>
      </c>
      <c r="BM19" s="54">
        <f t="array" ref="BM19">IF(BM$2=1,Assumptions!$P19/12,(SUMIF($D$2:$EE$2,BM$2-1,$D19:$EE19)/12)*(1+XLOOKUP(BM$2,Assumptions!$C$94:$M$94,Assumptions!$C$96:$M$96)))</f>
        <v>26543.85121</v>
      </c>
      <c r="BN19" s="54">
        <f t="array" ref="BN19">IF(BN$2=1,Assumptions!$P19/12,(SUMIF($D$2:$EE$2,BN$2-1,$D19:$EE19)/12)*(1+XLOOKUP(BN$2,Assumptions!$C$94:$M$94,Assumptions!$C$96:$M$96)))</f>
        <v>26543.85121</v>
      </c>
      <c r="BO19" s="54">
        <f t="array" ref="BO19">IF(BO$2=1,Assumptions!$P19/12,(SUMIF($D$2:$EE$2,BO$2-1,$D19:$EE19)/12)*(1+XLOOKUP(BO$2,Assumptions!$C$94:$M$94,Assumptions!$C$96:$M$96)))</f>
        <v>26543.85121</v>
      </c>
      <c r="BP19" s="54">
        <f t="array" ref="BP19">IF(BP$2=1,Assumptions!$P19/12,(SUMIF($D$2:$EE$2,BP$2-1,$D19:$EE19)/12)*(1+XLOOKUP(BP$2,Assumptions!$C$94:$M$94,Assumptions!$C$96:$M$96)))</f>
        <v>26543.85121</v>
      </c>
      <c r="BQ19" s="54">
        <f t="array" ref="BQ19">IF(BQ$2=1,Assumptions!$P19/12,(SUMIF($D$2:$EE$2,BQ$2-1,$D19:$EE19)/12)*(1+XLOOKUP(BQ$2,Assumptions!$C$94:$M$94,Assumptions!$C$96:$M$96)))</f>
        <v>26543.85121</v>
      </c>
      <c r="BR19" s="54">
        <f t="array" ref="BR19">IF(BR$2=1,Assumptions!$P19/12,(SUMIF($D$2:$EE$2,BR$2-1,$D19:$EE19)/12)*(1+XLOOKUP(BR$2,Assumptions!$C$94:$M$94,Assumptions!$C$96:$M$96)))</f>
        <v>26543.85121</v>
      </c>
      <c r="BS19" s="54">
        <f t="array" ref="BS19">IF(BS$2=1,Assumptions!$P19/12,(SUMIF($D$2:$EE$2,BS$2-1,$D19:$EE19)/12)*(1+XLOOKUP(BS$2,Assumptions!$C$94:$M$94,Assumptions!$C$96:$M$96)))</f>
        <v>26543.85121</v>
      </c>
      <c r="BT19" s="54">
        <f t="array" ref="BT19">IF(BT$2=1,Assumptions!$P19/12,(SUMIF($D$2:$EE$2,BT$2-1,$D19:$EE19)/12)*(1+XLOOKUP(BT$2,Assumptions!$C$94:$M$94,Assumptions!$C$96:$M$96)))</f>
        <v>26543.85121</v>
      </c>
      <c r="BU19" s="54">
        <f t="array" ref="BU19">IF(BU$2=1,Assumptions!$P19/12,(SUMIF($D$2:$EE$2,BU$2-1,$D19:$EE19)/12)*(1+XLOOKUP(BU$2,Assumptions!$C$94:$M$94,Assumptions!$C$96:$M$96)))</f>
        <v>26543.85121</v>
      </c>
      <c r="BV19" s="54">
        <f t="array" ref="BV19">IF(BV$2=1,Assumptions!$P19/12,(SUMIF($D$2:$EE$2,BV$2-1,$D19:$EE19)/12)*(1+XLOOKUP(BV$2,Assumptions!$C$94:$M$94,Assumptions!$C$96:$M$96)))</f>
        <v>26543.85121</v>
      </c>
      <c r="BW19" s="54">
        <f t="array" ref="BW19">IF(BW$2=1,Assumptions!$P19/12,(SUMIF($D$2:$EE$2,BW$2-1,$D19:$EE19)/12)*(1+XLOOKUP(BW$2,Assumptions!$C$94:$M$94,Assumptions!$C$96:$M$96)))</f>
        <v>26543.85121</v>
      </c>
      <c r="BX19" s="54">
        <f t="array" ref="BX19">IF(BX$2=1,Assumptions!$P19/12,(SUMIF($D$2:$EE$2,BX$2-1,$D19:$EE19)/12)*(1+XLOOKUP(BX$2,Assumptions!$C$94:$M$94,Assumptions!$C$96:$M$96)))</f>
        <v>27340.16675</v>
      </c>
      <c r="BY19" s="54">
        <f t="array" ref="BY19">IF(BY$2=1,Assumptions!$P19/12,(SUMIF($D$2:$EE$2,BY$2-1,$D19:$EE19)/12)*(1+XLOOKUP(BY$2,Assumptions!$C$94:$M$94,Assumptions!$C$96:$M$96)))</f>
        <v>27340.16675</v>
      </c>
      <c r="BZ19" s="54">
        <f t="array" ref="BZ19">IF(BZ$2=1,Assumptions!$P19/12,(SUMIF($D$2:$EE$2,BZ$2-1,$D19:$EE19)/12)*(1+XLOOKUP(BZ$2,Assumptions!$C$94:$M$94,Assumptions!$C$96:$M$96)))</f>
        <v>27340.16675</v>
      </c>
      <c r="CA19" s="54">
        <f t="array" ref="CA19">IF(CA$2=1,Assumptions!$P19/12,(SUMIF($D$2:$EE$2,CA$2-1,$D19:$EE19)/12)*(1+XLOOKUP(CA$2,Assumptions!$C$94:$M$94,Assumptions!$C$96:$M$96)))</f>
        <v>27340.16675</v>
      </c>
      <c r="CB19" s="54">
        <f t="array" ref="CB19">IF(CB$2=1,Assumptions!$P19/12,(SUMIF($D$2:$EE$2,CB$2-1,$D19:$EE19)/12)*(1+XLOOKUP(CB$2,Assumptions!$C$94:$M$94,Assumptions!$C$96:$M$96)))</f>
        <v>27340.16675</v>
      </c>
      <c r="CC19" s="54">
        <f t="array" ref="CC19">IF(CC$2=1,Assumptions!$P19/12,(SUMIF($D$2:$EE$2,CC$2-1,$D19:$EE19)/12)*(1+XLOOKUP(CC$2,Assumptions!$C$94:$M$94,Assumptions!$C$96:$M$96)))</f>
        <v>27340.16675</v>
      </c>
      <c r="CD19" s="54">
        <f t="array" ref="CD19">IF(CD$2=1,Assumptions!$P19/12,(SUMIF($D$2:$EE$2,CD$2-1,$D19:$EE19)/12)*(1+XLOOKUP(CD$2,Assumptions!$C$94:$M$94,Assumptions!$C$96:$M$96)))</f>
        <v>27340.16675</v>
      </c>
      <c r="CE19" s="54">
        <f t="array" ref="CE19">IF(CE$2=1,Assumptions!$P19/12,(SUMIF($D$2:$EE$2,CE$2-1,$D19:$EE19)/12)*(1+XLOOKUP(CE$2,Assumptions!$C$94:$M$94,Assumptions!$C$96:$M$96)))</f>
        <v>27340.16675</v>
      </c>
      <c r="CF19" s="54">
        <f t="array" ref="CF19">IF(CF$2=1,Assumptions!$P19/12,(SUMIF($D$2:$EE$2,CF$2-1,$D19:$EE19)/12)*(1+XLOOKUP(CF$2,Assumptions!$C$94:$M$94,Assumptions!$C$96:$M$96)))</f>
        <v>27340.16675</v>
      </c>
      <c r="CG19" s="54">
        <f t="array" ref="CG19">IF(CG$2=1,Assumptions!$P19/12,(SUMIF($D$2:$EE$2,CG$2-1,$D19:$EE19)/12)*(1+XLOOKUP(CG$2,Assumptions!$C$94:$M$94,Assumptions!$C$96:$M$96)))</f>
        <v>27340.16675</v>
      </c>
      <c r="CH19" s="54">
        <f t="array" ref="CH19">IF(CH$2=1,Assumptions!$P19/12,(SUMIF($D$2:$EE$2,CH$2-1,$D19:$EE19)/12)*(1+XLOOKUP(CH$2,Assumptions!$C$94:$M$94,Assumptions!$C$96:$M$96)))</f>
        <v>27340.16675</v>
      </c>
      <c r="CI19" s="54">
        <f t="array" ref="CI19">IF(CI$2=1,Assumptions!$P19/12,(SUMIF($D$2:$EE$2,CI$2-1,$D19:$EE19)/12)*(1+XLOOKUP(CI$2,Assumptions!$C$94:$M$94,Assumptions!$C$96:$M$96)))</f>
        <v>27340.16675</v>
      </c>
      <c r="CJ19" s="54">
        <f t="array" ref="CJ19">IF(CJ$2=1,Assumptions!$P19/12,(SUMIF($D$2:$EE$2,CJ$2-1,$D19:$EE19)/12)*(1+XLOOKUP(CJ$2,Assumptions!$C$94:$M$94,Assumptions!$C$96:$M$96)))</f>
        <v>28160.37175</v>
      </c>
      <c r="CK19" s="54">
        <f t="array" ref="CK19">IF(CK$2=1,Assumptions!$P19/12,(SUMIF($D$2:$EE$2,CK$2-1,$D19:$EE19)/12)*(1+XLOOKUP(CK$2,Assumptions!$C$94:$M$94,Assumptions!$C$96:$M$96)))</f>
        <v>28160.37175</v>
      </c>
      <c r="CL19" s="54">
        <f t="array" ref="CL19">IF(CL$2=1,Assumptions!$P19/12,(SUMIF($D$2:$EE$2,CL$2-1,$D19:$EE19)/12)*(1+XLOOKUP(CL$2,Assumptions!$C$94:$M$94,Assumptions!$C$96:$M$96)))</f>
        <v>28160.37175</v>
      </c>
      <c r="CM19" s="54">
        <f t="array" ref="CM19">IF(CM$2=1,Assumptions!$P19/12,(SUMIF($D$2:$EE$2,CM$2-1,$D19:$EE19)/12)*(1+XLOOKUP(CM$2,Assumptions!$C$94:$M$94,Assumptions!$C$96:$M$96)))</f>
        <v>28160.37175</v>
      </c>
      <c r="CN19" s="54">
        <f t="array" ref="CN19">IF(CN$2=1,Assumptions!$P19/12,(SUMIF($D$2:$EE$2,CN$2-1,$D19:$EE19)/12)*(1+XLOOKUP(CN$2,Assumptions!$C$94:$M$94,Assumptions!$C$96:$M$96)))</f>
        <v>28160.37175</v>
      </c>
      <c r="CO19" s="54">
        <f t="array" ref="CO19">IF(CO$2=1,Assumptions!$P19/12,(SUMIF($D$2:$EE$2,CO$2-1,$D19:$EE19)/12)*(1+XLOOKUP(CO$2,Assumptions!$C$94:$M$94,Assumptions!$C$96:$M$96)))</f>
        <v>28160.37175</v>
      </c>
      <c r="CP19" s="54">
        <f t="array" ref="CP19">IF(CP$2=1,Assumptions!$P19/12,(SUMIF($D$2:$EE$2,CP$2-1,$D19:$EE19)/12)*(1+XLOOKUP(CP$2,Assumptions!$C$94:$M$94,Assumptions!$C$96:$M$96)))</f>
        <v>28160.37175</v>
      </c>
      <c r="CQ19" s="54">
        <f t="array" ref="CQ19">IF(CQ$2=1,Assumptions!$P19/12,(SUMIF($D$2:$EE$2,CQ$2-1,$D19:$EE19)/12)*(1+XLOOKUP(CQ$2,Assumptions!$C$94:$M$94,Assumptions!$C$96:$M$96)))</f>
        <v>28160.37175</v>
      </c>
      <c r="CR19" s="54">
        <f t="array" ref="CR19">IF(CR$2=1,Assumptions!$P19/12,(SUMIF($D$2:$EE$2,CR$2-1,$D19:$EE19)/12)*(1+XLOOKUP(CR$2,Assumptions!$C$94:$M$94,Assumptions!$C$96:$M$96)))</f>
        <v>28160.37175</v>
      </c>
      <c r="CS19" s="54">
        <f t="array" ref="CS19">IF(CS$2=1,Assumptions!$P19/12,(SUMIF($D$2:$EE$2,CS$2-1,$D19:$EE19)/12)*(1+XLOOKUP(CS$2,Assumptions!$C$94:$M$94,Assumptions!$C$96:$M$96)))</f>
        <v>28160.37175</v>
      </c>
      <c r="CT19" s="54">
        <f t="array" ref="CT19">IF(CT$2=1,Assumptions!$P19/12,(SUMIF($D$2:$EE$2,CT$2-1,$D19:$EE19)/12)*(1+XLOOKUP(CT$2,Assumptions!$C$94:$M$94,Assumptions!$C$96:$M$96)))</f>
        <v>28160.37175</v>
      </c>
      <c r="CU19" s="54">
        <f t="array" ref="CU19">IF(CU$2=1,Assumptions!$P19/12,(SUMIF($D$2:$EE$2,CU$2-1,$D19:$EE19)/12)*(1+XLOOKUP(CU$2,Assumptions!$C$94:$M$94,Assumptions!$C$96:$M$96)))</f>
        <v>28160.37175</v>
      </c>
      <c r="CV19" s="54">
        <f t="array" ref="CV19">IF(CV$2=1,Assumptions!$P19/12,(SUMIF($D$2:$EE$2,CV$2-1,$D19:$EE19)/12)*(1+XLOOKUP(CV$2,Assumptions!$C$94:$M$94,Assumptions!$C$96:$M$96)))</f>
        <v>29005.1829</v>
      </c>
      <c r="CW19" s="54">
        <f t="array" ref="CW19">IF(CW$2=1,Assumptions!$P19/12,(SUMIF($D$2:$EE$2,CW$2-1,$D19:$EE19)/12)*(1+XLOOKUP(CW$2,Assumptions!$C$94:$M$94,Assumptions!$C$96:$M$96)))</f>
        <v>29005.1829</v>
      </c>
      <c r="CX19" s="54">
        <f t="array" ref="CX19">IF(CX$2=1,Assumptions!$P19/12,(SUMIF($D$2:$EE$2,CX$2-1,$D19:$EE19)/12)*(1+XLOOKUP(CX$2,Assumptions!$C$94:$M$94,Assumptions!$C$96:$M$96)))</f>
        <v>29005.1829</v>
      </c>
      <c r="CY19" s="54">
        <f t="array" ref="CY19">IF(CY$2=1,Assumptions!$P19/12,(SUMIF($D$2:$EE$2,CY$2-1,$D19:$EE19)/12)*(1+XLOOKUP(CY$2,Assumptions!$C$94:$M$94,Assumptions!$C$96:$M$96)))</f>
        <v>29005.1829</v>
      </c>
      <c r="CZ19" s="54">
        <f t="array" ref="CZ19">IF(CZ$2=1,Assumptions!$P19/12,(SUMIF($D$2:$EE$2,CZ$2-1,$D19:$EE19)/12)*(1+XLOOKUP(CZ$2,Assumptions!$C$94:$M$94,Assumptions!$C$96:$M$96)))</f>
        <v>29005.1829</v>
      </c>
      <c r="DA19" s="54">
        <f t="array" ref="DA19">IF(DA$2=1,Assumptions!$P19/12,(SUMIF($D$2:$EE$2,DA$2-1,$D19:$EE19)/12)*(1+XLOOKUP(DA$2,Assumptions!$C$94:$M$94,Assumptions!$C$96:$M$96)))</f>
        <v>29005.1829</v>
      </c>
      <c r="DB19" s="54">
        <f t="array" ref="DB19">IF(DB$2=1,Assumptions!$P19/12,(SUMIF($D$2:$EE$2,DB$2-1,$D19:$EE19)/12)*(1+XLOOKUP(DB$2,Assumptions!$C$94:$M$94,Assumptions!$C$96:$M$96)))</f>
        <v>29005.1829</v>
      </c>
      <c r="DC19" s="54">
        <f t="array" ref="DC19">IF(DC$2=1,Assumptions!$P19/12,(SUMIF($D$2:$EE$2,DC$2-1,$D19:$EE19)/12)*(1+XLOOKUP(DC$2,Assumptions!$C$94:$M$94,Assumptions!$C$96:$M$96)))</f>
        <v>29005.1829</v>
      </c>
      <c r="DD19" s="54">
        <f t="array" ref="DD19">IF(DD$2=1,Assumptions!$P19/12,(SUMIF($D$2:$EE$2,DD$2-1,$D19:$EE19)/12)*(1+XLOOKUP(DD$2,Assumptions!$C$94:$M$94,Assumptions!$C$96:$M$96)))</f>
        <v>29005.1829</v>
      </c>
      <c r="DE19" s="54">
        <f t="array" ref="DE19">IF(DE$2=1,Assumptions!$P19/12,(SUMIF($D$2:$EE$2,DE$2-1,$D19:$EE19)/12)*(1+XLOOKUP(DE$2,Assumptions!$C$94:$M$94,Assumptions!$C$96:$M$96)))</f>
        <v>29005.1829</v>
      </c>
      <c r="DF19" s="54">
        <f t="array" ref="DF19">IF(DF$2=1,Assumptions!$P19/12,(SUMIF($D$2:$EE$2,DF$2-1,$D19:$EE19)/12)*(1+XLOOKUP(DF$2,Assumptions!$C$94:$M$94,Assumptions!$C$96:$M$96)))</f>
        <v>29005.1829</v>
      </c>
      <c r="DG19" s="54">
        <f t="array" ref="DG19">IF(DG$2=1,Assumptions!$P19/12,(SUMIF($D$2:$EE$2,DG$2-1,$D19:$EE19)/12)*(1+XLOOKUP(DG$2,Assumptions!$C$94:$M$94,Assumptions!$C$96:$M$96)))</f>
        <v>29005.1829</v>
      </c>
      <c r="DH19" s="54">
        <f t="array" ref="DH19">IF(DH$2=1,Assumptions!$P19/12,(SUMIF($D$2:$EE$2,DH$2-1,$D19:$EE19)/12)*(1+XLOOKUP(DH$2,Assumptions!$C$94:$M$94,Assumptions!$C$96:$M$96)))</f>
        <v>29875.33839</v>
      </c>
      <c r="DI19" s="54">
        <f t="array" ref="DI19">IF(DI$2=1,Assumptions!$P19/12,(SUMIF($D$2:$EE$2,DI$2-1,$D19:$EE19)/12)*(1+XLOOKUP(DI$2,Assumptions!$C$94:$M$94,Assumptions!$C$96:$M$96)))</f>
        <v>29875.33839</v>
      </c>
      <c r="DJ19" s="54">
        <f t="array" ref="DJ19">IF(DJ$2=1,Assumptions!$P19/12,(SUMIF($D$2:$EE$2,DJ$2-1,$D19:$EE19)/12)*(1+XLOOKUP(DJ$2,Assumptions!$C$94:$M$94,Assumptions!$C$96:$M$96)))</f>
        <v>29875.33839</v>
      </c>
      <c r="DK19" s="54">
        <f t="array" ref="DK19">IF(DK$2=1,Assumptions!$P19/12,(SUMIF($D$2:$EE$2,DK$2-1,$D19:$EE19)/12)*(1+XLOOKUP(DK$2,Assumptions!$C$94:$M$94,Assumptions!$C$96:$M$96)))</f>
        <v>29875.33839</v>
      </c>
      <c r="DL19" s="54">
        <f t="array" ref="DL19">IF(DL$2=1,Assumptions!$P19/12,(SUMIF($D$2:$EE$2,DL$2-1,$D19:$EE19)/12)*(1+XLOOKUP(DL$2,Assumptions!$C$94:$M$94,Assumptions!$C$96:$M$96)))</f>
        <v>29875.33839</v>
      </c>
      <c r="DM19" s="54">
        <f t="array" ref="DM19">IF(DM$2=1,Assumptions!$P19/12,(SUMIF($D$2:$EE$2,DM$2-1,$D19:$EE19)/12)*(1+XLOOKUP(DM$2,Assumptions!$C$94:$M$94,Assumptions!$C$96:$M$96)))</f>
        <v>29875.33839</v>
      </c>
      <c r="DN19" s="54">
        <f t="array" ref="DN19">IF(DN$2=1,Assumptions!$P19/12,(SUMIF($D$2:$EE$2,DN$2-1,$D19:$EE19)/12)*(1+XLOOKUP(DN$2,Assumptions!$C$94:$M$94,Assumptions!$C$96:$M$96)))</f>
        <v>29875.33839</v>
      </c>
      <c r="DO19" s="54">
        <f t="array" ref="DO19">IF(DO$2=1,Assumptions!$P19/12,(SUMIF($D$2:$EE$2,DO$2-1,$D19:$EE19)/12)*(1+XLOOKUP(DO$2,Assumptions!$C$94:$M$94,Assumptions!$C$96:$M$96)))</f>
        <v>29875.33839</v>
      </c>
      <c r="DP19" s="54">
        <f t="array" ref="DP19">IF(DP$2=1,Assumptions!$P19/12,(SUMIF($D$2:$EE$2,DP$2-1,$D19:$EE19)/12)*(1+XLOOKUP(DP$2,Assumptions!$C$94:$M$94,Assumptions!$C$96:$M$96)))</f>
        <v>29875.33839</v>
      </c>
      <c r="DQ19" s="54">
        <f t="array" ref="DQ19">IF(DQ$2=1,Assumptions!$P19/12,(SUMIF($D$2:$EE$2,DQ$2-1,$D19:$EE19)/12)*(1+XLOOKUP(DQ$2,Assumptions!$C$94:$M$94,Assumptions!$C$96:$M$96)))</f>
        <v>29875.33839</v>
      </c>
      <c r="DR19" s="54">
        <f t="array" ref="DR19">IF(DR$2=1,Assumptions!$P19/12,(SUMIF($D$2:$EE$2,DR$2-1,$D19:$EE19)/12)*(1+XLOOKUP(DR$2,Assumptions!$C$94:$M$94,Assumptions!$C$96:$M$96)))</f>
        <v>29875.33839</v>
      </c>
      <c r="DS19" s="54">
        <f t="array" ref="DS19">IF(DS$2=1,Assumptions!$P19/12,(SUMIF($D$2:$EE$2,DS$2-1,$D19:$EE19)/12)*(1+XLOOKUP(DS$2,Assumptions!$C$94:$M$94,Assumptions!$C$96:$M$96)))</f>
        <v>29875.33839</v>
      </c>
      <c r="DT19" s="54">
        <f t="array" ref="DT19">IF(DT$2=1,Assumptions!$P19/12,(SUMIF($D$2:$EE$2,DT$2-1,$D19:$EE19)/12)*(1+XLOOKUP(DT$2,Assumptions!$C$94:$M$94,Assumptions!$C$96:$M$96)))</f>
        <v>30771.59854</v>
      </c>
      <c r="DU19" s="54">
        <f t="array" ref="DU19">IF(DU$2=1,Assumptions!$P19/12,(SUMIF($D$2:$EE$2,DU$2-1,$D19:$EE19)/12)*(1+XLOOKUP(DU$2,Assumptions!$C$94:$M$94,Assumptions!$C$96:$M$96)))</f>
        <v>30771.59854</v>
      </c>
      <c r="DV19" s="54">
        <f t="array" ref="DV19">IF(DV$2=1,Assumptions!$P19/12,(SUMIF($D$2:$EE$2,DV$2-1,$D19:$EE19)/12)*(1+XLOOKUP(DV$2,Assumptions!$C$94:$M$94,Assumptions!$C$96:$M$96)))</f>
        <v>30771.59854</v>
      </c>
      <c r="DW19" s="54">
        <f t="array" ref="DW19">IF(DW$2=1,Assumptions!$P19/12,(SUMIF($D$2:$EE$2,DW$2-1,$D19:$EE19)/12)*(1+XLOOKUP(DW$2,Assumptions!$C$94:$M$94,Assumptions!$C$96:$M$96)))</f>
        <v>30771.59854</v>
      </c>
      <c r="DX19" s="54">
        <f t="array" ref="DX19">IF(DX$2=1,Assumptions!$P19/12,(SUMIF($D$2:$EE$2,DX$2-1,$D19:$EE19)/12)*(1+XLOOKUP(DX$2,Assumptions!$C$94:$M$94,Assumptions!$C$96:$M$96)))</f>
        <v>30771.59854</v>
      </c>
      <c r="DY19" s="54">
        <f t="array" ref="DY19">IF(DY$2=1,Assumptions!$P19/12,(SUMIF($D$2:$EE$2,DY$2-1,$D19:$EE19)/12)*(1+XLOOKUP(DY$2,Assumptions!$C$94:$M$94,Assumptions!$C$96:$M$96)))</f>
        <v>30771.59854</v>
      </c>
      <c r="DZ19" s="54">
        <f t="array" ref="DZ19">IF(DZ$2=1,Assumptions!$P19/12,(SUMIF($D$2:$EE$2,DZ$2-1,$D19:$EE19)/12)*(1+XLOOKUP(DZ$2,Assumptions!$C$94:$M$94,Assumptions!$C$96:$M$96)))</f>
        <v>30771.59854</v>
      </c>
      <c r="EA19" s="54">
        <f t="array" ref="EA19">IF(EA$2=1,Assumptions!$P19/12,(SUMIF($D$2:$EE$2,EA$2-1,$D19:$EE19)/12)*(1+XLOOKUP(EA$2,Assumptions!$C$94:$M$94,Assumptions!$C$96:$M$96)))</f>
        <v>30771.59854</v>
      </c>
      <c r="EB19" s="54">
        <f t="array" ref="EB19">IF(EB$2=1,Assumptions!$P19/12,(SUMIF($D$2:$EE$2,EB$2-1,$D19:$EE19)/12)*(1+XLOOKUP(EB$2,Assumptions!$C$94:$M$94,Assumptions!$C$96:$M$96)))</f>
        <v>30771.59854</v>
      </c>
      <c r="EC19" s="54">
        <f t="array" ref="EC19">IF(EC$2=1,Assumptions!$P19/12,(SUMIF($D$2:$EE$2,EC$2-1,$D19:$EE19)/12)*(1+XLOOKUP(EC$2,Assumptions!$C$94:$M$94,Assumptions!$C$96:$M$96)))</f>
        <v>30771.59854</v>
      </c>
      <c r="ED19" s="54">
        <f t="array" ref="ED19">IF(ED$2=1,Assumptions!$P19/12,(SUMIF($D$2:$EE$2,ED$2-1,$D19:$EE19)/12)*(1+XLOOKUP(ED$2,Assumptions!$C$94:$M$94,Assumptions!$C$96:$M$96)))</f>
        <v>30771.59854</v>
      </c>
      <c r="EE19" s="54">
        <f t="array" ref="EE19">IF(EE$2=1,Assumptions!$P19/12,(SUMIF($D$2:$EE$2,EE$2-1,$D19:$EE19)/12)*(1+XLOOKUP(EE$2,Assumptions!$C$94:$M$94,Assumptions!$C$96:$M$96)))</f>
        <v>30771.59854</v>
      </c>
    </row>
    <row r="20" ht="15.75" customHeight="1">
      <c r="A20" s="1"/>
      <c r="B20" s="1"/>
      <c r="C20" s="1" t="str">
        <f>Assumptions!J20</f>
        <v>Utility Reimburshment (w/o Electricity)</v>
      </c>
      <c r="D20" s="54">
        <f>-D$27*(1+Assumptions!$M$21)*IF(D2&lt;Assumptions!$F$21,0,1)</f>
        <v>0</v>
      </c>
      <c r="E20" s="54">
        <f>-E$27*(1+Assumptions!$M$21)*IF(E2&lt;Assumptions!$F$21,0,1)</f>
        <v>0</v>
      </c>
      <c r="F20" s="54">
        <f>-F$27*(1+Assumptions!$M$21)*IF(F2&lt;Assumptions!$F$21,0,1)</f>
        <v>0</v>
      </c>
      <c r="G20" s="54">
        <f>-G$27*(1+Assumptions!$M$21)*IF(G2&lt;Assumptions!$F$21,0,1)</f>
        <v>0</v>
      </c>
      <c r="H20" s="54">
        <f>-H$27*(1+Assumptions!$M$21)*IF(H2&lt;Assumptions!$F$21,0,1)</f>
        <v>0</v>
      </c>
      <c r="I20" s="54">
        <f>-I$27*(1+Assumptions!$M$21)*IF(I2&lt;Assumptions!$F$21,0,1)</f>
        <v>0</v>
      </c>
      <c r="J20" s="54">
        <f>-J$27*(1+Assumptions!$M$21)*IF(J2&lt;Assumptions!$F$21,0,1)</f>
        <v>0</v>
      </c>
      <c r="K20" s="54">
        <f>-K$27*(1+Assumptions!$M$21)*IF(K2&lt;Assumptions!$F$21,0,1)</f>
        <v>0</v>
      </c>
      <c r="L20" s="54">
        <f>-L$27*(1+Assumptions!$M$21)*IF(L2&lt;Assumptions!$F$21,0,1)</f>
        <v>0</v>
      </c>
      <c r="M20" s="54">
        <f>-M$27*(1+Assumptions!$M$21)*IF(M2&lt;Assumptions!$F$21,0,1)</f>
        <v>0</v>
      </c>
      <c r="N20" s="54">
        <f>-N$27*(1+Assumptions!$M$21)*IF(N2&lt;Assumptions!$F$21,0,1)</f>
        <v>0</v>
      </c>
      <c r="O20" s="54">
        <f>-O$27*(1+Assumptions!$M$21)*IF(O2&lt;Assumptions!$F$21,0,1)</f>
        <v>0</v>
      </c>
      <c r="P20" s="54">
        <f>-P$27*(1+Assumptions!$M$21)*IF(P2&lt;Assumptions!$F$21,0,1)</f>
        <v>8150.954641</v>
      </c>
      <c r="Q20" s="54">
        <f>-Q$27*(1+Assumptions!$M$21)*IF(Q2&lt;Assumptions!$F$21,0,1)</f>
        <v>8150.954641</v>
      </c>
      <c r="R20" s="54">
        <f>-R$27*(1+Assumptions!$M$21)*IF(R2&lt;Assumptions!$F$21,0,1)</f>
        <v>8150.954641</v>
      </c>
      <c r="S20" s="54">
        <f>-S$27*(1+Assumptions!$M$21)*IF(S2&lt;Assumptions!$F$21,0,1)</f>
        <v>8150.954641</v>
      </c>
      <c r="T20" s="54">
        <f>-T$27*(1+Assumptions!$M$21)*IF(T2&lt;Assumptions!$F$21,0,1)</f>
        <v>8150.954641</v>
      </c>
      <c r="U20" s="54">
        <f>-U$27*(1+Assumptions!$M$21)*IF(U2&lt;Assumptions!$F$21,0,1)</f>
        <v>8150.954641</v>
      </c>
      <c r="V20" s="54">
        <f>-V$27*(1+Assumptions!$M$21)*IF(V2&lt;Assumptions!$F$21,0,1)</f>
        <v>8150.954641</v>
      </c>
      <c r="W20" s="54">
        <f>-W$27*(1+Assumptions!$M$21)*IF(W2&lt;Assumptions!$F$21,0,1)</f>
        <v>8150.954641</v>
      </c>
      <c r="X20" s="54">
        <f>-X$27*(1+Assumptions!$M$21)*IF(X2&lt;Assumptions!$F$21,0,1)</f>
        <v>8150.954641</v>
      </c>
      <c r="Y20" s="54">
        <f>-Y$27*(1+Assumptions!$M$21)*IF(Y2&lt;Assumptions!$F$21,0,1)</f>
        <v>8150.954641</v>
      </c>
      <c r="Z20" s="54">
        <f>-Z$27*(1+Assumptions!$M$21)*IF(Z2&lt;Assumptions!$F$21,0,1)</f>
        <v>8150.954641</v>
      </c>
      <c r="AA20" s="54">
        <f>-AA$27*(1+Assumptions!$M$21)*IF(AA2&lt;Assumptions!$F$21,0,1)</f>
        <v>8150.954641</v>
      </c>
      <c r="AB20" s="54">
        <f>-AB$27*(1+Assumptions!$M$21)*IF(AB2&lt;Assumptions!$F$21,0,1)</f>
        <v>8395.48328</v>
      </c>
      <c r="AC20" s="54">
        <f>-AC$27*(1+Assumptions!$M$21)*IF(AC2&lt;Assumptions!$F$21,0,1)</f>
        <v>8395.48328</v>
      </c>
      <c r="AD20" s="54">
        <f>-AD$27*(1+Assumptions!$M$21)*IF(AD2&lt;Assumptions!$F$21,0,1)</f>
        <v>8395.48328</v>
      </c>
      <c r="AE20" s="54">
        <f>-AE$27*(1+Assumptions!$M$21)*IF(AE2&lt;Assumptions!$F$21,0,1)</f>
        <v>8395.48328</v>
      </c>
      <c r="AF20" s="54">
        <f>-AF$27*(1+Assumptions!$M$21)*IF(AF2&lt;Assumptions!$F$21,0,1)</f>
        <v>8395.48328</v>
      </c>
      <c r="AG20" s="54">
        <f>-AG$27*(1+Assumptions!$M$21)*IF(AG2&lt;Assumptions!$F$21,0,1)</f>
        <v>8395.48328</v>
      </c>
      <c r="AH20" s="54">
        <f>-AH$27*(1+Assumptions!$M$21)*IF(AH2&lt;Assumptions!$F$21,0,1)</f>
        <v>8395.48328</v>
      </c>
      <c r="AI20" s="54">
        <f>-AI$27*(1+Assumptions!$M$21)*IF(AI2&lt;Assumptions!$F$21,0,1)</f>
        <v>8395.48328</v>
      </c>
      <c r="AJ20" s="54">
        <f>-AJ$27*(1+Assumptions!$M$21)*IF(AJ2&lt;Assumptions!$F$21,0,1)</f>
        <v>8395.48328</v>
      </c>
      <c r="AK20" s="54">
        <f>-AK$27*(1+Assumptions!$M$21)*IF(AK2&lt;Assumptions!$F$21,0,1)</f>
        <v>8395.48328</v>
      </c>
      <c r="AL20" s="54">
        <f>-AL$27*(1+Assumptions!$M$21)*IF(AL2&lt;Assumptions!$F$21,0,1)</f>
        <v>8395.48328</v>
      </c>
      <c r="AM20" s="54">
        <f>-AM$27*(1+Assumptions!$M$21)*IF(AM2&lt;Assumptions!$F$21,0,1)</f>
        <v>8395.48328</v>
      </c>
      <c r="AN20" s="54">
        <f>-AN$27*(1+Assumptions!$M$21)*IF(AN2&lt;Assumptions!$F$21,0,1)</f>
        <v>8647.347778</v>
      </c>
      <c r="AO20" s="54">
        <f>-AO$27*(1+Assumptions!$M$21)*IF(AO2&lt;Assumptions!$F$21,0,1)</f>
        <v>8647.347778</v>
      </c>
      <c r="AP20" s="54">
        <f>-AP$27*(1+Assumptions!$M$21)*IF(AP2&lt;Assumptions!$F$21,0,1)</f>
        <v>8647.347778</v>
      </c>
      <c r="AQ20" s="54">
        <f>-AQ$27*(1+Assumptions!$M$21)*IF(AQ2&lt;Assumptions!$F$21,0,1)</f>
        <v>8647.347778</v>
      </c>
      <c r="AR20" s="54">
        <f>-AR$27*(1+Assumptions!$M$21)*IF(AR2&lt;Assumptions!$F$21,0,1)</f>
        <v>8647.347778</v>
      </c>
      <c r="AS20" s="54">
        <f>-AS$27*(1+Assumptions!$M$21)*IF(AS2&lt;Assumptions!$F$21,0,1)</f>
        <v>8647.347778</v>
      </c>
      <c r="AT20" s="54">
        <f>-AT$27*(1+Assumptions!$M$21)*IF(AT2&lt;Assumptions!$F$21,0,1)</f>
        <v>8647.347778</v>
      </c>
      <c r="AU20" s="54">
        <f>-AU$27*(1+Assumptions!$M$21)*IF(AU2&lt;Assumptions!$F$21,0,1)</f>
        <v>8647.347778</v>
      </c>
      <c r="AV20" s="54">
        <f>-AV$27*(1+Assumptions!$M$21)*IF(AV2&lt;Assumptions!$F$21,0,1)</f>
        <v>8647.347778</v>
      </c>
      <c r="AW20" s="54">
        <f>-AW$27*(1+Assumptions!$M$21)*IF(AW2&lt;Assumptions!$F$21,0,1)</f>
        <v>8647.347778</v>
      </c>
      <c r="AX20" s="54">
        <f>-AX$27*(1+Assumptions!$M$21)*IF(AX2&lt;Assumptions!$F$21,0,1)</f>
        <v>8647.347778</v>
      </c>
      <c r="AY20" s="54">
        <f>-AY$27*(1+Assumptions!$M$21)*IF(AY2&lt;Assumptions!$F$21,0,1)</f>
        <v>8647.347778</v>
      </c>
      <c r="AZ20" s="54">
        <f>-AZ$27*(1+Assumptions!$M$21)*IF(AZ2&lt;Assumptions!$F$21,0,1)</f>
        <v>8906.768212</v>
      </c>
      <c r="BA20" s="54">
        <f>-BA$27*(1+Assumptions!$M$21)*IF(BA2&lt;Assumptions!$F$21,0,1)</f>
        <v>8906.768212</v>
      </c>
      <c r="BB20" s="54">
        <f>-BB$27*(1+Assumptions!$M$21)*IF(BB2&lt;Assumptions!$F$21,0,1)</f>
        <v>8906.768212</v>
      </c>
      <c r="BC20" s="54">
        <f>-BC$27*(1+Assumptions!$M$21)*IF(BC2&lt;Assumptions!$F$21,0,1)</f>
        <v>8906.768212</v>
      </c>
      <c r="BD20" s="54">
        <f>-BD$27*(1+Assumptions!$M$21)*IF(BD2&lt;Assumptions!$F$21,0,1)</f>
        <v>8906.768212</v>
      </c>
      <c r="BE20" s="54">
        <f>-BE$27*(1+Assumptions!$M$21)*IF(BE2&lt;Assumptions!$F$21,0,1)</f>
        <v>8906.768212</v>
      </c>
      <c r="BF20" s="54">
        <f>-BF$27*(1+Assumptions!$M$21)*IF(BF2&lt;Assumptions!$F$21,0,1)</f>
        <v>8906.768212</v>
      </c>
      <c r="BG20" s="54">
        <f>-BG$27*(1+Assumptions!$M$21)*IF(BG2&lt;Assumptions!$F$21,0,1)</f>
        <v>8906.768212</v>
      </c>
      <c r="BH20" s="54">
        <f>-BH$27*(1+Assumptions!$M$21)*IF(BH2&lt;Assumptions!$F$21,0,1)</f>
        <v>8906.768212</v>
      </c>
      <c r="BI20" s="54">
        <f>-BI$27*(1+Assumptions!$M$21)*IF(BI2&lt;Assumptions!$F$21,0,1)</f>
        <v>8906.768212</v>
      </c>
      <c r="BJ20" s="54">
        <f>-BJ$27*(1+Assumptions!$M$21)*IF(BJ2&lt;Assumptions!$F$21,0,1)</f>
        <v>8906.768212</v>
      </c>
      <c r="BK20" s="54">
        <f>-BK$27*(1+Assumptions!$M$21)*IF(BK2&lt;Assumptions!$F$21,0,1)</f>
        <v>8906.768212</v>
      </c>
      <c r="BL20" s="54">
        <f>-BL$27*(1+Assumptions!$M$21)*IF(BL2&lt;Assumptions!$F$21,0,1)</f>
        <v>9173.971258</v>
      </c>
      <c r="BM20" s="54">
        <f>-BM$27*(1+Assumptions!$M$21)*IF(BM2&lt;Assumptions!$F$21,0,1)</f>
        <v>9173.971258</v>
      </c>
      <c r="BN20" s="54">
        <f>-BN$27*(1+Assumptions!$M$21)*IF(BN2&lt;Assumptions!$F$21,0,1)</f>
        <v>9173.971258</v>
      </c>
      <c r="BO20" s="54">
        <f>-BO$27*(1+Assumptions!$M$21)*IF(BO2&lt;Assumptions!$F$21,0,1)</f>
        <v>9173.971258</v>
      </c>
      <c r="BP20" s="54">
        <f>-BP$27*(1+Assumptions!$M$21)*IF(BP2&lt;Assumptions!$F$21,0,1)</f>
        <v>9173.971258</v>
      </c>
      <c r="BQ20" s="54">
        <f>-BQ$27*(1+Assumptions!$M$21)*IF(BQ2&lt;Assumptions!$F$21,0,1)</f>
        <v>9173.971258</v>
      </c>
      <c r="BR20" s="54">
        <f>-BR$27*(1+Assumptions!$M$21)*IF(BR2&lt;Assumptions!$F$21,0,1)</f>
        <v>9173.971258</v>
      </c>
      <c r="BS20" s="54">
        <f>-BS$27*(1+Assumptions!$M$21)*IF(BS2&lt;Assumptions!$F$21,0,1)</f>
        <v>9173.971258</v>
      </c>
      <c r="BT20" s="54">
        <f>-BT$27*(1+Assumptions!$M$21)*IF(BT2&lt;Assumptions!$F$21,0,1)</f>
        <v>9173.971258</v>
      </c>
      <c r="BU20" s="54">
        <f>-BU$27*(1+Assumptions!$M$21)*IF(BU2&lt;Assumptions!$F$21,0,1)</f>
        <v>9173.971258</v>
      </c>
      <c r="BV20" s="54">
        <f>-BV$27*(1+Assumptions!$M$21)*IF(BV2&lt;Assumptions!$F$21,0,1)</f>
        <v>9173.971258</v>
      </c>
      <c r="BW20" s="54">
        <f>-BW$27*(1+Assumptions!$M$21)*IF(BW2&lt;Assumptions!$F$21,0,1)</f>
        <v>9173.971258</v>
      </c>
      <c r="BX20" s="54">
        <f>-BX$27*(1+Assumptions!$M$21)*IF(BX2&lt;Assumptions!$F$21,0,1)</f>
        <v>9449.190396</v>
      </c>
      <c r="BY20" s="54">
        <f>-BY$27*(1+Assumptions!$M$21)*IF(BY2&lt;Assumptions!$F$21,0,1)</f>
        <v>9449.190396</v>
      </c>
      <c r="BZ20" s="54">
        <f>-BZ$27*(1+Assumptions!$M$21)*IF(BZ2&lt;Assumptions!$F$21,0,1)</f>
        <v>9449.190396</v>
      </c>
      <c r="CA20" s="54">
        <f>-CA$27*(1+Assumptions!$M$21)*IF(CA2&lt;Assumptions!$F$21,0,1)</f>
        <v>9449.190396</v>
      </c>
      <c r="CB20" s="54">
        <f>-CB$27*(1+Assumptions!$M$21)*IF(CB2&lt;Assumptions!$F$21,0,1)</f>
        <v>9449.190396</v>
      </c>
      <c r="CC20" s="54">
        <f>-CC$27*(1+Assumptions!$M$21)*IF(CC2&lt;Assumptions!$F$21,0,1)</f>
        <v>9449.190396</v>
      </c>
      <c r="CD20" s="54">
        <f>-CD$27*(1+Assumptions!$M$21)*IF(CD2&lt;Assumptions!$F$21,0,1)</f>
        <v>9449.190396</v>
      </c>
      <c r="CE20" s="54">
        <f>-CE$27*(1+Assumptions!$M$21)*IF(CE2&lt;Assumptions!$F$21,0,1)</f>
        <v>9449.190396</v>
      </c>
      <c r="CF20" s="54">
        <f>-CF$27*(1+Assumptions!$M$21)*IF(CF2&lt;Assumptions!$F$21,0,1)</f>
        <v>9449.190396</v>
      </c>
      <c r="CG20" s="54">
        <f>-CG$27*(1+Assumptions!$M$21)*IF(CG2&lt;Assumptions!$F$21,0,1)</f>
        <v>9449.190396</v>
      </c>
      <c r="CH20" s="54">
        <f>-CH$27*(1+Assumptions!$M$21)*IF(CH2&lt;Assumptions!$F$21,0,1)</f>
        <v>9449.190396</v>
      </c>
      <c r="CI20" s="54">
        <f>-CI$27*(1+Assumptions!$M$21)*IF(CI2&lt;Assumptions!$F$21,0,1)</f>
        <v>9449.190396</v>
      </c>
      <c r="CJ20" s="54">
        <f>-CJ$27*(1+Assumptions!$M$21)*IF(CJ2&lt;Assumptions!$F$21,0,1)</f>
        <v>9732.666108</v>
      </c>
      <c r="CK20" s="54">
        <f>-CK$27*(1+Assumptions!$M$21)*IF(CK2&lt;Assumptions!$F$21,0,1)</f>
        <v>9732.666108</v>
      </c>
      <c r="CL20" s="54">
        <f>-CL$27*(1+Assumptions!$M$21)*IF(CL2&lt;Assumptions!$F$21,0,1)</f>
        <v>9732.666108</v>
      </c>
      <c r="CM20" s="54">
        <f>-CM$27*(1+Assumptions!$M$21)*IF(CM2&lt;Assumptions!$F$21,0,1)</f>
        <v>9732.666108</v>
      </c>
      <c r="CN20" s="54">
        <f>-CN$27*(1+Assumptions!$M$21)*IF(CN2&lt;Assumptions!$F$21,0,1)</f>
        <v>9732.666108</v>
      </c>
      <c r="CO20" s="54">
        <f>-CO$27*(1+Assumptions!$M$21)*IF(CO2&lt;Assumptions!$F$21,0,1)</f>
        <v>9732.666108</v>
      </c>
      <c r="CP20" s="54">
        <f>-CP$27*(1+Assumptions!$M$21)*IF(CP2&lt;Assumptions!$F$21,0,1)</f>
        <v>9732.666108</v>
      </c>
      <c r="CQ20" s="54">
        <f>-CQ$27*(1+Assumptions!$M$21)*IF(CQ2&lt;Assumptions!$F$21,0,1)</f>
        <v>9732.666108</v>
      </c>
      <c r="CR20" s="54">
        <f>-CR$27*(1+Assumptions!$M$21)*IF(CR2&lt;Assumptions!$F$21,0,1)</f>
        <v>9732.666108</v>
      </c>
      <c r="CS20" s="54">
        <f>-CS$27*(1+Assumptions!$M$21)*IF(CS2&lt;Assumptions!$F$21,0,1)</f>
        <v>9732.666108</v>
      </c>
      <c r="CT20" s="54">
        <f>-CT$27*(1+Assumptions!$M$21)*IF(CT2&lt;Assumptions!$F$21,0,1)</f>
        <v>9732.666108</v>
      </c>
      <c r="CU20" s="54">
        <f>-CU$27*(1+Assumptions!$M$21)*IF(CU2&lt;Assumptions!$F$21,0,1)</f>
        <v>9732.666108</v>
      </c>
      <c r="CV20" s="54">
        <f>-CV$27*(1+Assumptions!$M$21)*IF(CV2&lt;Assumptions!$F$21,0,1)</f>
        <v>10024.64609</v>
      </c>
      <c r="CW20" s="54">
        <f>-CW$27*(1+Assumptions!$M$21)*IF(CW2&lt;Assumptions!$F$21,0,1)</f>
        <v>10024.64609</v>
      </c>
      <c r="CX20" s="54">
        <f>-CX$27*(1+Assumptions!$M$21)*IF(CX2&lt;Assumptions!$F$21,0,1)</f>
        <v>10024.64609</v>
      </c>
      <c r="CY20" s="54">
        <f>-CY$27*(1+Assumptions!$M$21)*IF(CY2&lt;Assumptions!$F$21,0,1)</f>
        <v>10024.64609</v>
      </c>
      <c r="CZ20" s="54">
        <f>-CZ$27*(1+Assumptions!$M$21)*IF(CZ2&lt;Assumptions!$F$21,0,1)</f>
        <v>10024.64609</v>
      </c>
      <c r="DA20" s="54">
        <f>-DA$27*(1+Assumptions!$M$21)*IF(DA2&lt;Assumptions!$F$21,0,1)</f>
        <v>10024.64609</v>
      </c>
      <c r="DB20" s="54">
        <f>-DB$27*(1+Assumptions!$M$21)*IF(DB2&lt;Assumptions!$F$21,0,1)</f>
        <v>10024.64609</v>
      </c>
      <c r="DC20" s="54">
        <f>-DC$27*(1+Assumptions!$M$21)*IF(DC2&lt;Assumptions!$F$21,0,1)</f>
        <v>10024.64609</v>
      </c>
      <c r="DD20" s="54">
        <f>-DD$27*(1+Assumptions!$M$21)*IF(DD2&lt;Assumptions!$F$21,0,1)</f>
        <v>10024.64609</v>
      </c>
      <c r="DE20" s="54">
        <f>-DE$27*(1+Assumptions!$M$21)*IF(DE2&lt;Assumptions!$F$21,0,1)</f>
        <v>10024.64609</v>
      </c>
      <c r="DF20" s="54">
        <f>-DF$27*(1+Assumptions!$M$21)*IF(DF2&lt;Assumptions!$F$21,0,1)</f>
        <v>10024.64609</v>
      </c>
      <c r="DG20" s="54">
        <f>-DG$27*(1+Assumptions!$M$21)*IF(DG2&lt;Assumptions!$F$21,0,1)</f>
        <v>10024.64609</v>
      </c>
      <c r="DH20" s="54">
        <f>-DH$27*(1+Assumptions!$M$21)*IF(DH2&lt;Assumptions!$F$21,0,1)</f>
        <v>10325.38547</v>
      </c>
      <c r="DI20" s="54">
        <f>-DI$27*(1+Assumptions!$M$21)*IF(DI2&lt;Assumptions!$F$21,0,1)</f>
        <v>10325.38547</v>
      </c>
      <c r="DJ20" s="54">
        <f>-DJ$27*(1+Assumptions!$M$21)*IF(DJ2&lt;Assumptions!$F$21,0,1)</f>
        <v>10325.38547</v>
      </c>
      <c r="DK20" s="54">
        <f>-DK$27*(1+Assumptions!$M$21)*IF(DK2&lt;Assumptions!$F$21,0,1)</f>
        <v>10325.38547</v>
      </c>
      <c r="DL20" s="54">
        <f>-DL$27*(1+Assumptions!$M$21)*IF(DL2&lt;Assumptions!$F$21,0,1)</f>
        <v>10325.38547</v>
      </c>
      <c r="DM20" s="54">
        <f>-DM$27*(1+Assumptions!$M$21)*IF(DM2&lt;Assumptions!$F$21,0,1)</f>
        <v>10325.38547</v>
      </c>
      <c r="DN20" s="54">
        <f>-DN$27*(1+Assumptions!$M$21)*IF(DN2&lt;Assumptions!$F$21,0,1)</f>
        <v>10325.38547</v>
      </c>
      <c r="DO20" s="54">
        <f>-DO$27*(1+Assumptions!$M$21)*IF(DO2&lt;Assumptions!$F$21,0,1)</f>
        <v>10325.38547</v>
      </c>
      <c r="DP20" s="54">
        <f>-DP$27*(1+Assumptions!$M$21)*IF(DP2&lt;Assumptions!$F$21,0,1)</f>
        <v>10325.38547</v>
      </c>
      <c r="DQ20" s="54">
        <f>-DQ$27*(1+Assumptions!$M$21)*IF(DQ2&lt;Assumptions!$F$21,0,1)</f>
        <v>10325.38547</v>
      </c>
      <c r="DR20" s="54">
        <f>-DR$27*(1+Assumptions!$M$21)*IF(DR2&lt;Assumptions!$F$21,0,1)</f>
        <v>10325.38547</v>
      </c>
      <c r="DS20" s="54">
        <f>-DS$27*(1+Assumptions!$M$21)*IF(DS2&lt;Assumptions!$F$21,0,1)</f>
        <v>10325.38547</v>
      </c>
      <c r="DT20" s="54">
        <f>-DT$27*(1+Assumptions!$M$21)*IF(DT2&lt;Assumptions!$F$21,0,1)</f>
        <v>10635.14704</v>
      </c>
      <c r="DU20" s="54">
        <f>-DU$27*(1+Assumptions!$M$21)*IF(DU2&lt;Assumptions!$F$21,0,1)</f>
        <v>10635.14704</v>
      </c>
      <c r="DV20" s="54">
        <f>-DV$27*(1+Assumptions!$M$21)*IF(DV2&lt;Assumptions!$F$21,0,1)</f>
        <v>10635.14704</v>
      </c>
      <c r="DW20" s="54">
        <f>-DW$27*(1+Assumptions!$M$21)*IF(DW2&lt;Assumptions!$F$21,0,1)</f>
        <v>10635.14704</v>
      </c>
      <c r="DX20" s="54">
        <f>-DX$27*(1+Assumptions!$M$21)*IF(DX2&lt;Assumptions!$F$21,0,1)</f>
        <v>10635.14704</v>
      </c>
      <c r="DY20" s="54">
        <f>-DY$27*(1+Assumptions!$M$21)*IF(DY2&lt;Assumptions!$F$21,0,1)</f>
        <v>10635.14704</v>
      </c>
      <c r="DZ20" s="54">
        <f>-DZ$27*(1+Assumptions!$M$21)*IF(DZ2&lt;Assumptions!$F$21,0,1)</f>
        <v>10635.14704</v>
      </c>
      <c r="EA20" s="54">
        <f>-EA$27*(1+Assumptions!$M$21)*IF(EA2&lt;Assumptions!$F$21,0,1)</f>
        <v>10635.14704</v>
      </c>
      <c r="EB20" s="54">
        <f>-EB$27*(1+Assumptions!$M$21)*IF(EB2&lt;Assumptions!$F$21,0,1)</f>
        <v>10635.14704</v>
      </c>
      <c r="EC20" s="54">
        <f>-EC$27*(1+Assumptions!$M$21)*IF(EC2&lt;Assumptions!$F$21,0,1)</f>
        <v>10635.14704</v>
      </c>
      <c r="ED20" s="54">
        <f>-ED$27*(1+Assumptions!$M$21)*IF(ED2&lt;Assumptions!$F$21,0,1)</f>
        <v>10635.14704</v>
      </c>
      <c r="EE20" s="54">
        <f>-EE$27*(1+Assumptions!$M$21)*IF(EE2&lt;Assumptions!$F$21,0,1)</f>
        <v>10635.14704</v>
      </c>
    </row>
    <row r="21" ht="15.75" customHeight="1">
      <c r="A21" s="1"/>
      <c r="B21" s="47" t="s">
        <v>68</v>
      </c>
      <c r="C21" s="47"/>
      <c r="D21" s="213">
        <f t="shared" ref="D21:EE21" si="5">SUM(D18:D20)</f>
        <v>193764.2652</v>
      </c>
      <c r="E21" s="213">
        <f t="shared" si="5"/>
        <v>193764.2652</v>
      </c>
      <c r="F21" s="213">
        <f t="shared" si="5"/>
        <v>193764.2652</v>
      </c>
      <c r="G21" s="213">
        <f t="shared" si="5"/>
        <v>193764.2652</v>
      </c>
      <c r="H21" s="213">
        <f t="shared" si="5"/>
        <v>193764.2652</v>
      </c>
      <c r="I21" s="213">
        <f t="shared" si="5"/>
        <v>193764.2652</v>
      </c>
      <c r="J21" s="213">
        <f t="shared" si="5"/>
        <v>193764.2652</v>
      </c>
      <c r="K21" s="213">
        <f t="shared" si="5"/>
        <v>193764.2652</v>
      </c>
      <c r="L21" s="213">
        <f t="shared" si="5"/>
        <v>193764.2652</v>
      </c>
      <c r="M21" s="213">
        <f t="shared" si="5"/>
        <v>193764.2652</v>
      </c>
      <c r="N21" s="213">
        <f t="shared" si="5"/>
        <v>193764.2652</v>
      </c>
      <c r="O21" s="213">
        <f t="shared" si="5"/>
        <v>193764.2652</v>
      </c>
      <c r="P21" s="213">
        <f t="shared" si="5"/>
        <v>213405.3518</v>
      </c>
      <c r="Q21" s="213">
        <f t="shared" si="5"/>
        <v>213405.3518</v>
      </c>
      <c r="R21" s="213">
        <f t="shared" si="5"/>
        <v>213405.3518</v>
      </c>
      <c r="S21" s="213">
        <f t="shared" si="5"/>
        <v>213405.3518</v>
      </c>
      <c r="T21" s="213">
        <f t="shared" si="5"/>
        <v>213405.3518</v>
      </c>
      <c r="U21" s="213">
        <f t="shared" si="5"/>
        <v>213405.3518</v>
      </c>
      <c r="V21" s="213">
        <f t="shared" si="5"/>
        <v>213405.3518</v>
      </c>
      <c r="W21" s="213">
        <f t="shared" si="5"/>
        <v>213405.3518</v>
      </c>
      <c r="X21" s="213">
        <f t="shared" si="5"/>
        <v>213405.3518</v>
      </c>
      <c r="Y21" s="213">
        <f t="shared" si="5"/>
        <v>213405.3518</v>
      </c>
      <c r="Z21" s="213">
        <f t="shared" si="5"/>
        <v>213405.3518</v>
      </c>
      <c r="AA21" s="213">
        <f t="shared" si="5"/>
        <v>213405.3518</v>
      </c>
      <c r="AB21" s="213">
        <f t="shared" si="5"/>
        <v>219807.5124</v>
      </c>
      <c r="AC21" s="213">
        <f t="shared" si="5"/>
        <v>219807.5124</v>
      </c>
      <c r="AD21" s="213">
        <f t="shared" si="5"/>
        <v>219807.5124</v>
      </c>
      <c r="AE21" s="213">
        <f t="shared" si="5"/>
        <v>219807.5124</v>
      </c>
      <c r="AF21" s="213">
        <f t="shared" si="5"/>
        <v>219807.5124</v>
      </c>
      <c r="AG21" s="213">
        <f t="shared" si="5"/>
        <v>219807.5124</v>
      </c>
      <c r="AH21" s="213">
        <f t="shared" si="5"/>
        <v>219807.5124</v>
      </c>
      <c r="AI21" s="213">
        <f t="shared" si="5"/>
        <v>219807.5124</v>
      </c>
      <c r="AJ21" s="213">
        <f t="shared" si="5"/>
        <v>219807.5124</v>
      </c>
      <c r="AK21" s="213">
        <f t="shared" si="5"/>
        <v>219807.5124</v>
      </c>
      <c r="AL21" s="213">
        <f t="shared" si="5"/>
        <v>219807.5124</v>
      </c>
      <c r="AM21" s="213">
        <f t="shared" si="5"/>
        <v>219807.5124</v>
      </c>
      <c r="AN21" s="213">
        <f t="shared" si="5"/>
        <v>226401.7378</v>
      </c>
      <c r="AO21" s="213">
        <f t="shared" si="5"/>
        <v>226401.7378</v>
      </c>
      <c r="AP21" s="213">
        <f t="shared" si="5"/>
        <v>226401.7378</v>
      </c>
      <c r="AQ21" s="213">
        <f t="shared" si="5"/>
        <v>226401.7378</v>
      </c>
      <c r="AR21" s="213">
        <f t="shared" si="5"/>
        <v>226401.7378</v>
      </c>
      <c r="AS21" s="213">
        <f t="shared" si="5"/>
        <v>226401.7378</v>
      </c>
      <c r="AT21" s="213">
        <f t="shared" si="5"/>
        <v>226401.7378</v>
      </c>
      <c r="AU21" s="213">
        <f t="shared" si="5"/>
        <v>226401.7378</v>
      </c>
      <c r="AV21" s="213">
        <f t="shared" si="5"/>
        <v>226401.7378</v>
      </c>
      <c r="AW21" s="213">
        <f t="shared" si="5"/>
        <v>226401.7378</v>
      </c>
      <c r="AX21" s="213">
        <f t="shared" si="5"/>
        <v>226401.7378</v>
      </c>
      <c r="AY21" s="213">
        <f t="shared" si="5"/>
        <v>226401.7378</v>
      </c>
      <c r="AZ21" s="213">
        <f t="shared" si="5"/>
        <v>233193.7899</v>
      </c>
      <c r="BA21" s="213">
        <f t="shared" si="5"/>
        <v>233193.7899</v>
      </c>
      <c r="BB21" s="213">
        <f t="shared" si="5"/>
        <v>233193.7899</v>
      </c>
      <c r="BC21" s="213">
        <f t="shared" si="5"/>
        <v>233193.7899</v>
      </c>
      <c r="BD21" s="213">
        <f t="shared" si="5"/>
        <v>233193.7899</v>
      </c>
      <c r="BE21" s="213">
        <f t="shared" si="5"/>
        <v>233193.7899</v>
      </c>
      <c r="BF21" s="213">
        <f t="shared" si="5"/>
        <v>233193.7899</v>
      </c>
      <c r="BG21" s="213">
        <f t="shared" si="5"/>
        <v>233193.7899</v>
      </c>
      <c r="BH21" s="213">
        <f t="shared" si="5"/>
        <v>233193.7899</v>
      </c>
      <c r="BI21" s="213">
        <f t="shared" si="5"/>
        <v>233193.7899</v>
      </c>
      <c r="BJ21" s="213">
        <f t="shared" si="5"/>
        <v>233193.7899</v>
      </c>
      <c r="BK21" s="213">
        <f t="shared" si="5"/>
        <v>233193.7899</v>
      </c>
      <c r="BL21" s="213">
        <f t="shared" si="5"/>
        <v>240189.6036</v>
      </c>
      <c r="BM21" s="213">
        <f t="shared" si="5"/>
        <v>240189.6036</v>
      </c>
      <c r="BN21" s="213">
        <f t="shared" si="5"/>
        <v>240189.6036</v>
      </c>
      <c r="BO21" s="213">
        <f t="shared" si="5"/>
        <v>240189.6036</v>
      </c>
      <c r="BP21" s="213">
        <f t="shared" si="5"/>
        <v>240189.6036</v>
      </c>
      <c r="BQ21" s="213">
        <f t="shared" si="5"/>
        <v>240189.6036</v>
      </c>
      <c r="BR21" s="213">
        <f t="shared" si="5"/>
        <v>240189.6036</v>
      </c>
      <c r="BS21" s="213">
        <f t="shared" si="5"/>
        <v>240189.6036</v>
      </c>
      <c r="BT21" s="213">
        <f t="shared" si="5"/>
        <v>240189.6036</v>
      </c>
      <c r="BU21" s="213">
        <f t="shared" si="5"/>
        <v>240189.6036</v>
      </c>
      <c r="BV21" s="213">
        <f t="shared" si="5"/>
        <v>240189.6036</v>
      </c>
      <c r="BW21" s="213">
        <f t="shared" si="5"/>
        <v>240189.6036</v>
      </c>
      <c r="BX21" s="213">
        <f t="shared" si="5"/>
        <v>247395.2917</v>
      </c>
      <c r="BY21" s="213">
        <f t="shared" si="5"/>
        <v>247395.2917</v>
      </c>
      <c r="BZ21" s="213">
        <f t="shared" si="5"/>
        <v>247395.2917</v>
      </c>
      <c r="CA21" s="213">
        <f t="shared" si="5"/>
        <v>247395.2917</v>
      </c>
      <c r="CB21" s="213">
        <f t="shared" si="5"/>
        <v>247395.2917</v>
      </c>
      <c r="CC21" s="213">
        <f t="shared" si="5"/>
        <v>247395.2917</v>
      </c>
      <c r="CD21" s="213">
        <f t="shared" si="5"/>
        <v>247395.2917</v>
      </c>
      <c r="CE21" s="213">
        <f t="shared" si="5"/>
        <v>247395.2917</v>
      </c>
      <c r="CF21" s="213">
        <f t="shared" si="5"/>
        <v>247395.2917</v>
      </c>
      <c r="CG21" s="213">
        <f t="shared" si="5"/>
        <v>247395.2917</v>
      </c>
      <c r="CH21" s="213">
        <f t="shared" si="5"/>
        <v>247395.2917</v>
      </c>
      <c r="CI21" s="213">
        <f t="shared" si="5"/>
        <v>247395.2917</v>
      </c>
      <c r="CJ21" s="213">
        <f t="shared" si="5"/>
        <v>254817.1505</v>
      </c>
      <c r="CK21" s="213">
        <f t="shared" si="5"/>
        <v>254817.1505</v>
      </c>
      <c r="CL21" s="213">
        <f t="shared" si="5"/>
        <v>254817.1505</v>
      </c>
      <c r="CM21" s="213">
        <f t="shared" si="5"/>
        <v>254817.1505</v>
      </c>
      <c r="CN21" s="213">
        <f t="shared" si="5"/>
        <v>254817.1505</v>
      </c>
      <c r="CO21" s="213">
        <f t="shared" si="5"/>
        <v>254817.1505</v>
      </c>
      <c r="CP21" s="213">
        <f t="shared" si="5"/>
        <v>254817.1505</v>
      </c>
      <c r="CQ21" s="213">
        <f t="shared" si="5"/>
        <v>254817.1505</v>
      </c>
      <c r="CR21" s="213">
        <f t="shared" si="5"/>
        <v>254817.1505</v>
      </c>
      <c r="CS21" s="213">
        <f t="shared" si="5"/>
        <v>254817.1505</v>
      </c>
      <c r="CT21" s="213">
        <f t="shared" si="5"/>
        <v>254817.1505</v>
      </c>
      <c r="CU21" s="213">
        <f t="shared" si="5"/>
        <v>254817.1505</v>
      </c>
      <c r="CV21" s="213">
        <f t="shared" si="5"/>
        <v>262461.665</v>
      </c>
      <c r="CW21" s="213">
        <f t="shared" si="5"/>
        <v>262461.665</v>
      </c>
      <c r="CX21" s="213">
        <f t="shared" si="5"/>
        <v>262461.665</v>
      </c>
      <c r="CY21" s="213">
        <f t="shared" si="5"/>
        <v>262461.665</v>
      </c>
      <c r="CZ21" s="213">
        <f t="shared" si="5"/>
        <v>262461.665</v>
      </c>
      <c r="DA21" s="213">
        <f t="shared" si="5"/>
        <v>262461.665</v>
      </c>
      <c r="DB21" s="213">
        <f t="shared" si="5"/>
        <v>262461.665</v>
      </c>
      <c r="DC21" s="213">
        <f t="shared" si="5"/>
        <v>262461.665</v>
      </c>
      <c r="DD21" s="213">
        <f t="shared" si="5"/>
        <v>262461.665</v>
      </c>
      <c r="DE21" s="213">
        <f t="shared" si="5"/>
        <v>262461.665</v>
      </c>
      <c r="DF21" s="213">
        <f t="shared" si="5"/>
        <v>262461.665</v>
      </c>
      <c r="DG21" s="213">
        <f t="shared" si="5"/>
        <v>262461.665</v>
      </c>
      <c r="DH21" s="213">
        <f t="shared" si="5"/>
        <v>270335.5149</v>
      </c>
      <c r="DI21" s="213">
        <f t="shared" si="5"/>
        <v>270335.5149</v>
      </c>
      <c r="DJ21" s="213">
        <f t="shared" si="5"/>
        <v>270335.5149</v>
      </c>
      <c r="DK21" s="213">
        <f t="shared" si="5"/>
        <v>270335.5149</v>
      </c>
      <c r="DL21" s="213">
        <f t="shared" si="5"/>
        <v>270335.5149</v>
      </c>
      <c r="DM21" s="213">
        <f t="shared" si="5"/>
        <v>270335.5149</v>
      </c>
      <c r="DN21" s="213">
        <f t="shared" si="5"/>
        <v>270335.5149</v>
      </c>
      <c r="DO21" s="213">
        <f t="shared" si="5"/>
        <v>270335.5149</v>
      </c>
      <c r="DP21" s="213">
        <f t="shared" si="5"/>
        <v>270335.5149</v>
      </c>
      <c r="DQ21" s="213">
        <f t="shared" si="5"/>
        <v>270335.5149</v>
      </c>
      <c r="DR21" s="213">
        <f t="shared" si="5"/>
        <v>270335.5149</v>
      </c>
      <c r="DS21" s="213">
        <f t="shared" si="5"/>
        <v>270335.5149</v>
      </c>
      <c r="DT21" s="213">
        <f t="shared" si="5"/>
        <v>271038.1168</v>
      </c>
      <c r="DU21" s="213">
        <f t="shared" si="5"/>
        <v>271038.1168</v>
      </c>
      <c r="DV21" s="213">
        <f t="shared" si="5"/>
        <v>271038.1168</v>
      </c>
      <c r="DW21" s="213">
        <f t="shared" si="5"/>
        <v>271038.1168</v>
      </c>
      <c r="DX21" s="213">
        <f t="shared" si="5"/>
        <v>271038.1168</v>
      </c>
      <c r="DY21" s="213">
        <f t="shared" si="5"/>
        <v>271038.1168</v>
      </c>
      <c r="DZ21" s="213">
        <f t="shared" si="5"/>
        <v>271038.1168</v>
      </c>
      <c r="EA21" s="213">
        <f t="shared" si="5"/>
        <v>271038.1168</v>
      </c>
      <c r="EB21" s="213">
        <f t="shared" si="5"/>
        <v>271038.1168</v>
      </c>
      <c r="EC21" s="213">
        <f t="shared" si="5"/>
        <v>271038.1168</v>
      </c>
      <c r="ED21" s="213">
        <f t="shared" si="5"/>
        <v>271038.1168</v>
      </c>
      <c r="EE21" s="213">
        <f t="shared" si="5"/>
        <v>271038.1168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9" t="s">
        <v>69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3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General &amp; Admin</v>
      </c>
      <c r="D24" s="54">
        <f t="array" ref="D24">-(IF(D$2=1,Assumptions!$P25/12,-(SUMIF($D$2:$EE$2,D$2-1,$D24:$EE24)/12)*(1+XLOOKUP(D$2,Assumptions!$C$94:$M$94,Assumptions!$C$98:$M$98))))</f>
        <v>-1298.754467</v>
      </c>
      <c r="E24" s="54">
        <f t="array" ref="E24">-(IF(E$2=1,Assumptions!$P25/12,-(SUMIF($D$2:$EE$2,E$2-1,$D24:$EE24)/12)*(1+XLOOKUP(E$2,Assumptions!$C$94:$M$94,Assumptions!$C$98:$M$98))))</f>
        <v>-1298.754467</v>
      </c>
      <c r="F24" s="54">
        <f t="array" ref="F24">-(IF(F$2=1,Assumptions!$P25/12,-(SUMIF($D$2:$EE$2,F$2-1,$D24:$EE24)/12)*(1+XLOOKUP(F$2,Assumptions!$C$94:$M$94,Assumptions!$C$98:$M$98))))</f>
        <v>-1298.754467</v>
      </c>
      <c r="G24" s="54">
        <f t="array" ref="G24">-(IF(G$2=1,Assumptions!$P25/12,-(SUMIF($D$2:$EE$2,G$2-1,$D24:$EE24)/12)*(1+XLOOKUP(G$2,Assumptions!$C$94:$M$94,Assumptions!$C$98:$M$98))))</f>
        <v>-1298.754467</v>
      </c>
      <c r="H24" s="54">
        <f t="array" ref="H24">-(IF(H$2=1,Assumptions!$P25/12,-(SUMIF($D$2:$EE$2,H$2-1,$D24:$EE24)/12)*(1+XLOOKUP(H$2,Assumptions!$C$94:$M$94,Assumptions!$C$98:$M$98))))</f>
        <v>-1298.754467</v>
      </c>
      <c r="I24" s="54">
        <f t="array" ref="I24">-(IF(I$2=1,Assumptions!$P25/12,-(SUMIF($D$2:$EE$2,I$2-1,$D24:$EE24)/12)*(1+XLOOKUP(I$2,Assumptions!$C$94:$M$94,Assumptions!$C$98:$M$98))))</f>
        <v>-1298.754467</v>
      </c>
      <c r="J24" s="54">
        <f t="array" ref="J24">-(IF(J$2=1,Assumptions!$P25/12,-(SUMIF($D$2:$EE$2,J$2-1,$D24:$EE24)/12)*(1+XLOOKUP(J$2,Assumptions!$C$94:$M$94,Assumptions!$C$98:$M$98))))</f>
        <v>-1298.754467</v>
      </c>
      <c r="K24" s="54">
        <f t="array" ref="K24">-(IF(K$2=1,Assumptions!$P25/12,-(SUMIF($D$2:$EE$2,K$2-1,$D24:$EE24)/12)*(1+XLOOKUP(K$2,Assumptions!$C$94:$M$94,Assumptions!$C$98:$M$98))))</f>
        <v>-1298.754467</v>
      </c>
      <c r="L24" s="54">
        <f t="array" ref="L24">-(IF(L$2=1,Assumptions!$P25/12,-(SUMIF($D$2:$EE$2,L$2-1,$D24:$EE24)/12)*(1+XLOOKUP(L$2,Assumptions!$C$94:$M$94,Assumptions!$C$98:$M$98))))</f>
        <v>-1298.754467</v>
      </c>
      <c r="M24" s="54">
        <f t="array" ref="M24">-(IF(M$2=1,Assumptions!$P25/12,-(SUMIF($D$2:$EE$2,M$2-1,$D24:$EE24)/12)*(1+XLOOKUP(M$2,Assumptions!$C$94:$M$94,Assumptions!$C$98:$M$98))))</f>
        <v>-1298.754467</v>
      </c>
      <c r="N24" s="54">
        <f t="array" ref="N24">-(IF(N$2=1,Assumptions!$P25/12,-(SUMIF($D$2:$EE$2,N$2-1,$D24:$EE24)/12)*(1+XLOOKUP(N$2,Assumptions!$C$94:$M$94,Assumptions!$C$98:$M$98))))</f>
        <v>-1298.754467</v>
      </c>
      <c r="O24" s="54">
        <f t="array" ref="O24">-(IF(O$2=1,Assumptions!$P25/12,-(SUMIF($D$2:$EE$2,O$2-1,$D24:$EE24)/12)*(1+XLOOKUP(O$2,Assumptions!$C$94:$M$94,Assumptions!$C$98:$M$98))))</f>
        <v>-1298.754467</v>
      </c>
      <c r="P24" s="54">
        <f t="array" ref="P24">-(IF(P$2=1,Assumptions!$P25/12,-(SUMIF($D$2:$EE$2,P$2-1,$D24:$EE24)/12)*(1+XLOOKUP(P$2,Assumptions!$C$94:$M$94,Assumptions!$C$98:$M$98))))</f>
        <v>-1337.717101</v>
      </c>
      <c r="Q24" s="54">
        <f t="array" ref="Q24">-(IF(Q$2=1,Assumptions!$P25/12,-(SUMIF($D$2:$EE$2,Q$2-1,$D24:$EE24)/12)*(1+XLOOKUP(Q$2,Assumptions!$C$94:$M$94,Assumptions!$C$98:$M$98))))</f>
        <v>-1337.717101</v>
      </c>
      <c r="R24" s="54">
        <f t="array" ref="R24">-(IF(R$2=1,Assumptions!$P25/12,-(SUMIF($D$2:$EE$2,R$2-1,$D24:$EE24)/12)*(1+XLOOKUP(R$2,Assumptions!$C$94:$M$94,Assumptions!$C$98:$M$98))))</f>
        <v>-1337.717101</v>
      </c>
      <c r="S24" s="54">
        <f t="array" ref="S24">-(IF(S$2=1,Assumptions!$P25/12,-(SUMIF($D$2:$EE$2,S$2-1,$D24:$EE24)/12)*(1+XLOOKUP(S$2,Assumptions!$C$94:$M$94,Assumptions!$C$98:$M$98))))</f>
        <v>-1337.717101</v>
      </c>
      <c r="T24" s="54">
        <f t="array" ref="T24">-(IF(T$2=1,Assumptions!$P25/12,-(SUMIF($D$2:$EE$2,T$2-1,$D24:$EE24)/12)*(1+XLOOKUP(T$2,Assumptions!$C$94:$M$94,Assumptions!$C$98:$M$98))))</f>
        <v>-1337.717101</v>
      </c>
      <c r="U24" s="54">
        <f t="array" ref="U24">-(IF(U$2=1,Assumptions!$P25/12,-(SUMIF($D$2:$EE$2,U$2-1,$D24:$EE24)/12)*(1+XLOOKUP(U$2,Assumptions!$C$94:$M$94,Assumptions!$C$98:$M$98))))</f>
        <v>-1337.717101</v>
      </c>
      <c r="V24" s="54">
        <f t="array" ref="V24">-(IF(V$2=1,Assumptions!$P25/12,-(SUMIF($D$2:$EE$2,V$2-1,$D24:$EE24)/12)*(1+XLOOKUP(V$2,Assumptions!$C$94:$M$94,Assumptions!$C$98:$M$98))))</f>
        <v>-1337.717101</v>
      </c>
      <c r="W24" s="54">
        <f t="array" ref="W24">-(IF(W$2=1,Assumptions!$P25/12,-(SUMIF($D$2:$EE$2,W$2-1,$D24:$EE24)/12)*(1+XLOOKUP(W$2,Assumptions!$C$94:$M$94,Assumptions!$C$98:$M$98))))</f>
        <v>-1337.717101</v>
      </c>
      <c r="X24" s="54">
        <f t="array" ref="X24">-(IF(X$2=1,Assumptions!$P25/12,-(SUMIF($D$2:$EE$2,X$2-1,$D24:$EE24)/12)*(1+XLOOKUP(X$2,Assumptions!$C$94:$M$94,Assumptions!$C$98:$M$98))))</f>
        <v>-1337.717101</v>
      </c>
      <c r="Y24" s="54">
        <f t="array" ref="Y24">-(IF(Y$2=1,Assumptions!$P25/12,-(SUMIF($D$2:$EE$2,Y$2-1,$D24:$EE24)/12)*(1+XLOOKUP(Y$2,Assumptions!$C$94:$M$94,Assumptions!$C$98:$M$98))))</f>
        <v>-1337.717101</v>
      </c>
      <c r="Z24" s="54">
        <f t="array" ref="Z24">-(IF(Z$2=1,Assumptions!$P25/12,-(SUMIF($D$2:$EE$2,Z$2-1,$D24:$EE24)/12)*(1+XLOOKUP(Z$2,Assumptions!$C$94:$M$94,Assumptions!$C$98:$M$98))))</f>
        <v>-1337.717101</v>
      </c>
      <c r="AA24" s="54">
        <f t="array" ref="AA24">-(IF(AA$2=1,Assumptions!$P25/12,-(SUMIF($D$2:$EE$2,AA$2-1,$D24:$EE24)/12)*(1+XLOOKUP(AA$2,Assumptions!$C$94:$M$94,Assumptions!$C$98:$M$98))))</f>
        <v>-1337.717101</v>
      </c>
      <c r="AB24" s="54">
        <f t="array" ref="AB24">-(IF(AB$2=1,Assumptions!$P25/12,-(SUMIF($D$2:$EE$2,AB$2-1,$D24:$EE24)/12)*(1+XLOOKUP(AB$2,Assumptions!$C$94:$M$94,Assumptions!$C$98:$M$98))))</f>
        <v>-1377.848614</v>
      </c>
      <c r="AC24" s="54">
        <f t="array" ref="AC24">-(IF(AC$2=1,Assumptions!$P25/12,-(SUMIF($D$2:$EE$2,AC$2-1,$D24:$EE24)/12)*(1+XLOOKUP(AC$2,Assumptions!$C$94:$M$94,Assumptions!$C$98:$M$98))))</f>
        <v>-1377.848614</v>
      </c>
      <c r="AD24" s="54">
        <f t="array" ref="AD24">-(IF(AD$2=1,Assumptions!$P25/12,-(SUMIF($D$2:$EE$2,AD$2-1,$D24:$EE24)/12)*(1+XLOOKUP(AD$2,Assumptions!$C$94:$M$94,Assumptions!$C$98:$M$98))))</f>
        <v>-1377.848614</v>
      </c>
      <c r="AE24" s="54">
        <f t="array" ref="AE24">-(IF(AE$2=1,Assumptions!$P25/12,-(SUMIF($D$2:$EE$2,AE$2-1,$D24:$EE24)/12)*(1+XLOOKUP(AE$2,Assumptions!$C$94:$M$94,Assumptions!$C$98:$M$98))))</f>
        <v>-1377.848614</v>
      </c>
      <c r="AF24" s="54">
        <f t="array" ref="AF24">-(IF(AF$2=1,Assumptions!$P25/12,-(SUMIF($D$2:$EE$2,AF$2-1,$D24:$EE24)/12)*(1+XLOOKUP(AF$2,Assumptions!$C$94:$M$94,Assumptions!$C$98:$M$98))))</f>
        <v>-1377.848614</v>
      </c>
      <c r="AG24" s="54">
        <f t="array" ref="AG24">-(IF(AG$2=1,Assumptions!$P25/12,-(SUMIF($D$2:$EE$2,AG$2-1,$D24:$EE24)/12)*(1+XLOOKUP(AG$2,Assumptions!$C$94:$M$94,Assumptions!$C$98:$M$98))))</f>
        <v>-1377.848614</v>
      </c>
      <c r="AH24" s="54">
        <f t="array" ref="AH24">-(IF(AH$2=1,Assumptions!$P25/12,-(SUMIF($D$2:$EE$2,AH$2-1,$D24:$EE24)/12)*(1+XLOOKUP(AH$2,Assumptions!$C$94:$M$94,Assumptions!$C$98:$M$98))))</f>
        <v>-1377.848614</v>
      </c>
      <c r="AI24" s="54">
        <f t="array" ref="AI24">-(IF(AI$2=1,Assumptions!$P25/12,-(SUMIF($D$2:$EE$2,AI$2-1,$D24:$EE24)/12)*(1+XLOOKUP(AI$2,Assumptions!$C$94:$M$94,Assumptions!$C$98:$M$98))))</f>
        <v>-1377.848614</v>
      </c>
      <c r="AJ24" s="54">
        <f t="array" ref="AJ24">-(IF(AJ$2=1,Assumptions!$P25/12,-(SUMIF($D$2:$EE$2,AJ$2-1,$D24:$EE24)/12)*(1+XLOOKUP(AJ$2,Assumptions!$C$94:$M$94,Assumptions!$C$98:$M$98))))</f>
        <v>-1377.848614</v>
      </c>
      <c r="AK24" s="54">
        <f t="array" ref="AK24">-(IF(AK$2=1,Assumptions!$P25/12,-(SUMIF($D$2:$EE$2,AK$2-1,$D24:$EE24)/12)*(1+XLOOKUP(AK$2,Assumptions!$C$94:$M$94,Assumptions!$C$98:$M$98))))</f>
        <v>-1377.848614</v>
      </c>
      <c r="AL24" s="54">
        <f t="array" ref="AL24">-(IF(AL$2=1,Assumptions!$P25/12,-(SUMIF($D$2:$EE$2,AL$2-1,$D24:$EE24)/12)*(1+XLOOKUP(AL$2,Assumptions!$C$94:$M$94,Assumptions!$C$98:$M$98))))</f>
        <v>-1377.848614</v>
      </c>
      <c r="AM24" s="54">
        <f t="array" ref="AM24">-(IF(AM$2=1,Assumptions!$P25/12,-(SUMIF($D$2:$EE$2,AM$2-1,$D24:$EE24)/12)*(1+XLOOKUP(AM$2,Assumptions!$C$94:$M$94,Assumptions!$C$98:$M$98))))</f>
        <v>-1377.848614</v>
      </c>
      <c r="AN24" s="54">
        <f t="array" ref="AN24">-(IF(AN$2=1,Assumptions!$P25/12,-(SUMIF($D$2:$EE$2,AN$2-1,$D24:$EE24)/12)*(1+XLOOKUP(AN$2,Assumptions!$C$94:$M$94,Assumptions!$C$98:$M$98))))</f>
        <v>-1419.184072</v>
      </c>
      <c r="AO24" s="54">
        <f t="array" ref="AO24">-(IF(AO$2=1,Assumptions!$P25/12,-(SUMIF($D$2:$EE$2,AO$2-1,$D24:$EE24)/12)*(1+XLOOKUP(AO$2,Assumptions!$C$94:$M$94,Assumptions!$C$98:$M$98))))</f>
        <v>-1419.184072</v>
      </c>
      <c r="AP24" s="54">
        <f t="array" ref="AP24">-(IF(AP$2=1,Assumptions!$P25/12,-(SUMIF($D$2:$EE$2,AP$2-1,$D24:$EE24)/12)*(1+XLOOKUP(AP$2,Assumptions!$C$94:$M$94,Assumptions!$C$98:$M$98))))</f>
        <v>-1419.184072</v>
      </c>
      <c r="AQ24" s="54">
        <f t="array" ref="AQ24">-(IF(AQ$2=1,Assumptions!$P25/12,-(SUMIF($D$2:$EE$2,AQ$2-1,$D24:$EE24)/12)*(1+XLOOKUP(AQ$2,Assumptions!$C$94:$M$94,Assumptions!$C$98:$M$98))))</f>
        <v>-1419.184072</v>
      </c>
      <c r="AR24" s="54">
        <f t="array" ref="AR24">-(IF(AR$2=1,Assumptions!$P25/12,-(SUMIF($D$2:$EE$2,AR$2-1,$D24:$EE24)/12)*(1+XLOOKUP(AR$2,Assumptions!$C$94:$M$94,Assumptions!$C$98:$M$98))))</f>
        <v>-1419.184072</v>
      </c>
      <c r="AS24" s="54">
        <f t="array" ref="AS24">-(IF(AS$2=1,Assumptions!$P25/12,-(SUMIF($D$2:$EE$2,AS$2-1,$D24:$EE24)/12)*(1+XLOOKUP(AS$2,Assumptions!$C$94:$M$94,Assumptions!$C$98:$M$98))))</f>
        <v>-1419.184072</v>
      </c>
      <c r="AT24" s="54">
        <f t="array" ref="AT24">-(IF(AT$2=1,Assumptions!$P25/12,-(SUMIF($D$2:$EE$2,AT$2-1,$D24:$EE24)/12)*(1+XLOOKUP(AT$2,Assumptions!$C$94:$M$94,Assumptions!$C$98:$M$98))))</f>
        <v>-1419.184072</v>
      </c>
      <c r="AU24" s="54">
        <f t="array" ref="AU24">-(IF(AU$2=1,Assumptions!$P25/12,-(SUMIF($D$2:$EE$2,AU$2-1,$D24:$EE24)/12)*(1+XLOOKUP(AU$2,Assumptions!$C$94:$M$94,Assumptions!$C$98:$M$98))))</f>
        <v>-1419.184072</v>
      </c>
      <c r="AV24" s="54">
        <f t="array" ref="AV24">-(IF(AV$2=1,Assumptions!$P25/12,-(SUMIF($D$2:$EE$2,AV$2-1,$D24:$EE24)/12)*(1+XLOOKUP(AV$2,Assumptions!$C$94:$M$94,Assumptions!$C$98:$M$98))))</f>
        <v>-1419.184072</v>
      </c>
      <c r="AW24" s="54">
        <f t="array" ref="AW24">-(IF(AW$2=1,Assumptions!$P25/12,-(SUMIF($D$2:$EE$2,AW$2-1,$D24:$EE24)/12)*(1+XLOOKUP(AW$2,Assumptions!$C$94:$M$94,Assumptions!$C$98:$M$98))))</f>
        <v>-1419.184072</v>
      </c>
      <c r="AX24" s="54">
        <f t="array" ref="AX24">-(IF(AX$2=1,Assumptions!$P25/12,-(SUMIF($D$2:$EE$2,AX$2-1,$D24:$EE24)/12)*(1+XLOOKUP(AX$2,Assumptions!$C$94:$M$94,Assumptions!$C$98:$M$98))))</f>
        <v>-1419.184072</v>
      </c>
      <c r="AY24" s="54">
        <f t="array" ref="AY24">-(IF(AY$2=1,Assumptions!$P25/12,-(SUMIF($D$2:$EE$2,AY$2-1,$D24:$EE24)/12)*(1+XLOOKUP(AY$2,Assumptions!$C$94:$M$94,Assumptions!$C$98:$M$98))))</f>
        <v>-1419.184072</v>
      </c>
      <c r="AZ24" s="54">
        <f t="array" ref="AZ24">-(IF(AZ$2=1,Assumptions!$P25/12,-(SUMIF($D$2:$EE$2,AZ$2-1,$D24:$EE24)/12)*(1+XLOOKUP(AZ$2,Assumptions!$C$94:$M$94,Assumptions!$C$98:$M$98))))</f>
        <v>-1461.759594</v>
      </c>
      <c r="BA24" s="54">
        <f t="array" ref="BA24">-(IF(BA$2=1,Assumptions!$P25/12,-(SUMIF($D$2:$EE$2,BA$2-1,$D24:$EE24)/12)*(1+XLOOKUP(BA$2,Assumptions!$C$94:$M$94,Assumptions!$C$98:$M$98))))</f>
        <v>-1461.759594</v>
      </c>
      <c r="BB24" s="54">
        <f t="array" ref="BB24">-(IF(BB$2=1,Assumptions!$P25/12,-(SUMIF($D$2:$EE$2,BB$2-1,$D24:$EE24)/12)*(1+XLOOKUP(BB$2,Assumptions!$C$94:$M$94,Assumptions!$C$98:$M$98))))</f>
        <v>-1461.759594</v>
      </c>
      <c r="BC24" s="54">
        <f t="array" ref="BC24">-(IF(BC$2=1,Assumptions!$P25/12,-(SUMIF($D$2:$EE$2,BC$2-1,$D24:$EE24)/12)*(1+XLOOKUP(BC$2,Assumptions!$C$94:$M$94,Assumptions!$C$98:$M$98))))</f>
        <v>-1461.759594</v>
      </c>
      <c r="BD24" s="54">
        <f t="array" ref="BD24">-(IF(BD$2=1,Assumptions!$P25/12,-(SUMIF($D$2:$EE$2,BD$2-1,$D24:$EE24)/12)*(1+XLOOKUP(BD$2,Assumptions!$C$94:$M$94,Assumptions!$C$98:$M$98))))</f>
        <v>-1461.759594</v>
      </c>
      <c r="BE24" s="54">
        <f t="array" ref="BE24">-(IF(BE$2=1,Assumptions!$P25/12,-(SUMIF($D$2:$EE$2,BE$2-1,$D24:$EE24)/12)*(1+XLOOKUP(BE$2,Assumptions!$C$94:$M$94,Assumptions!$C$98:$M$98))))</f>
        <v>-1461.759594</v>
      </c>
      <c r="BF24" s="54">
        <f t="array" ref="BF24">-(IF(BF$2=1,Assumptions!$P25/12,-(SUMIF($D$2:$EE$2,BF$2-1,$D24:$EE24)/12)*(1+XLOOKUP(BF$2,Assumptions!$C$94:$M$94,Assumptions!$C$98:$M$98))))</f>
        <v>-1461.759594</v>
      </c>
      <c r="BG24" s="54">
        <f t="array" ref="BG24">-(IF(BG$2=1,Assumptions!$P25/12,-(SUMIF($D$2:$EE$2,BG$2-1,$D24:$EE24)/12)*(1+XLOOKUP(BG$2,Assumptions!$C$94:$M$94,Assumptions!$C$98:$M$98))))</f>
        <v>-1461.759594</v>
      </c>
      <c r="BH24" s="54">
        <f t="array" ref="BH24">-(IF(BH$2=1,Assumptions!$P25/12,-(SUMIF($D$2:$EE$2,BH$2-1,$D24:$EE24)/12)*(1+XLOOKUP(BH$2,Assumptions!$C$94:$M$94,Assumptions!$C$98:$M$98))))</f>
        <v>-1461.759594</v>
      </c>
      <c r="BI24" s="54">
        <f t="array" ref="BI24">-(IF(BI$2=1,Assumptions!$P25/12,-(SUMIF($D$2:$EE$2,BI$2-1,$D24:$EE24)/12)*(1+XLOOKUP(BI$2,Assumptions!$C$94:$M$94,Assumptions!$C$98:$M$98))))</f>
        <v>-1461.759594</v>
      </c>
      <c r="BJ24" s="54">
        <f t="array" ref="BJ24">-(IF(BJ$2=1,Assumptions!$P25/12,-(SUMIF($D$2:$EE$2,BJ$2-1,$D24:$EE24)/12)*(1+XLOOKUP(BJ$2,Assumptions!$C$94:$M$94,Assumptions!$C$98:$M$98))))</f>
        <v>-1461.759594</v>
      </c>
      <c r="BK24" s="54">
        <f t="array" ref="BK24">-(IF(BK$2=1,Assumptions!$P25/12,-(SUMIF($D$2:$EE$2,BK$2-1,$D24:$EE24)/12)*(1+XLOOKUP(BK$2,Assumptions!$C$94:$M$94,Assumptions!$C$98:$M$98))))</f>
        <v>-1461.759594</v>
      </c>
      <c r="BL24" s="54">
        <f t="array" ref="BL24">-(IF(BL$2=1,Assumptions!$P25/12,-(SUMIF($D$2:$EE$2,BL$2-1,$D24:$EE24)/12)*(1+XLOOKUP(BL$2,Assumptions!$C$94:$M$94,Assumptions!$C$98:$M$98))))</f>
        <v>-1505.612382</v>
      </c>
      <c r="BM24" s="54">
        <f t="array" ref="BM24">-(IF(BM$2=1,Assumptions!$P25/12,-(SUMIF($D$2:$EE$2,BM$2-1,$D24:$EE24)/12)*(1+XLOOKUP(BM$2,Assumptions!$C$94:$M$94,Assumptions!$C$98:$M$98))))</f>
        <v>-1505.612382</v>
      </c>
      <c r="BN24" s="54">
        <f t="array" ref="BN24">-(IF(BN$2=1,Assumptions!$P25/12,-(SUMIF($D$2:$EE$2,BN$2-1,$D24:$EE24)/12)*(1+XLOOKUP(BN$2,Assumptions!$C$94:$M$94,Assumptions!$C$98:$M$98))))</f>
        <v>-1505.612382</v>
      </c>
      <c r="BO24" s="54">
        <f t="array" ref="BO24">-(IF(BO$2=1,Assumptions!$P25/12,-(SUMIF($D$2:$EE$2,BO$2-1,$D24:$EE24)/12)*(1+XLOOKUP(BO$2,Assumptions!$C$94:$M$94,Assumptions!$C$98:$M$98))))</f>
        <v>-1505.612382</v>
      </c>
      <c r="BP24" s="54">
        <f t="array" ref="BP24">-(IF(BP$2=1,Assumptions!$P25/12,-(SUMIF($D$2:$EE$2,BP$2-1,$D24:$EE24)/12)*(1+XLOOKUP(BP$2,Assumptions!$C$94:$M$94,Assumptions!$C$98:$M$98))))</f>
        <v>-1505.612382</v>
      </c>
      <c r="BQ24" s="54">
        <f t="array" ref="BQ24">-(IF(BQ$2=1,Assumptions!$P25/12,-(SUMIF($D$2:$EE$2,BQ$2-1,$D24:$EE24)/12)*(1+XLOOKUP(BQ$2,Assumptions!$C$94:$M$94,Assumptions!$C$98:$M$98))))</f>
        <v>-1505.612382</v>
      </c>
      <c r="BR24" s="54">
        <f t="array" ref="BR24">-(IF(BR$2=1,Assumptions!$P25/12,-(SUMIF($D$2:$EE$2,BR$2-1,$D24:$EE24)/12)*(1+XLOOKUP(BR$2,Assumptions!$C$94:$M$94,Assumptions!$C$98:$M$98))))</f>
        <v>-1505.612382</v>
      </c>
      <c r="BS24" s="54">
        <f t="array" ref="BS24">-(IF(BS$2=1,Assumptions!$P25/12,-(SUMIF($D$2:$EE$2,BS$2-1,$D24:$EE24)/12)*(1+XLOOKUP(BS$2,Assumptions!$C$94:$M$94,Assumptions!$C$98:$M$98))))</f>
        <v>-1505.612382</v>
      </c>
      <c r="BT24" s="54">
        <f t="array" ref="BT24">-(IF(BT$2=1,Assumptions!$P25/12,-(SUMIF($D$2:$EE$2,BT$2-1,$D24:$EE24)/12)*(1+XLOOKUP(BT$2,Assumptions!$C$94:$M$94,Assumptions!$C$98:$M$98))))</f>
        <v>-1505.612382</v>
      </c>
      <c r="BU24" s="54">
        <f t="array" ref="BU24">-(IF(BU$2=1,Assumptions!$P25/12,-(SUMIF($D$2:$EE$2,BU$2-1,$D24:$EE24)/12)*(1+XLOOKUP(BU$2,Assumptions!$C$94:$M$94,Assumptions!$C$98:$M$98))))</f>
        <v>-1505.612382</v>
      </c>
      <c r="BV24" s="54">
        <f t="array" ref="BV24">-(IF(BV$2=1,Assumptions!$P25/12,-(SUMIF($D$2:$EE$2,BV$2-1,$D24:$EE24)/12)*(1+XLOOKUP(BV$2,Assumptions!$C$94:$M$94,Assumptions!$C$98:$M$98))))</f>
        <v>-1505.612382</v>
      </c>
      <c r="BW24" s="54">
        <f t="array" ref="BW24">-(IF(BW$2=1,Assumptions!$P25/12,-(SUMIF($D$2:$EE$2,BW$2-1,$D24:$EE24)/12)*(1+XLOOKUP(BW$2,Assumptions!$C$94:$M$94,Assumptions!$C$98:$M$98))))</f>
        <v>-1505.612382</v>
      </c>
      <c r="BX24" s="54">
        <f t="array" ref="BX24">-(IF(BX$2=1,Assumptions!$P25/12,-(SUMIF($D$2:$EE$2,BX$2-1,$D24:$EE24)/12)*(1+XLOOKUP(BX$2,Assumptions!$C$94:$M$94,Assumptions!$C$98:$M$98))))</f>
        <v>-1550.780754</v>
      </c>
      <c r="BY24" s="54">
        <f t="array" ref="BY24">-(IF(BY$2=1,Assumptions!$P25/12,-(SUMIF($D$2:$EE$2,BY$2-1,$D24:$EE24)/12)*(1+XLOOKUP(BY$2,Assumptions!$C$94:$M$94,Assumptions!$C$98:$M$98))))</f>
        <v>-1550.780754</v>
      </c>
      <c r="BZ24" s="54">
        <f t="array" ref="BZ24">-(IF(BZ$2=1,Assumptions!$P25/12,-(SUMIF($D$2:$EE$2,BZ$2-1,$D24:$EE24)/12)*(1+XLOOKUP(BZ$2,Assumptions!$C$94:$M$94,Assumptions!$C$98:$M$98))))</f>
        <v>-1550.780754</v>
      </c>
      <c r="CA24" s="54">
        <f t="array" ref="CA24">-(IF(CA$2=1,Assumptions!$P25/12,-(SUMIF($D$2:$EE$2,CA$2-1,$D24:$EE24)/12)*(1+XLOOKUP(CA$2,Assumptions!$C$94:$M$94,Assumptions!$C$98:$M$98))))</f>
        <v>-1550.780754</v>
      </c>
      <c r="CB24" s="54">
        <f t="array" ref="CB24">-(IF(CB$2=1,Assumptions!$P25/12,-(SUMIF($D$2:$EE$2,CB$2-1,$D24:$EE24)/12)*(1+XLOOKUP(CB$2,Assumptions!$C$94:$M$94,Assumptions!$C$98:$M$98))))</f>
        <v>-1550.780754</v>
      </c>
      <c r="CC24" s="54">
        <f t="array" ref="CC24">-(IF(CC$2=1,Assumptions!$P25/12,-(SUMIF($D$2:$EE$2,CC$2-1,$D24:$EE24)/12)*(1+XLOOKUP(CC$2,Assumptions!$C$94:$M$94,Assumptions!$C$98:$M$98))))</f>
        <v>-1550.780754</v>
      </c>
      <c r="CD24" s="54">
        <f t="array" ref="CD24">-(IF(CD$2=1,Assumptions!$P25/12,-(SUMIF($D$2:$EE$2,CD$2-1,$D24:$EE24)/12)*(1+XLOOKUP(CD$2,Assumptions!$C$94:$M$94,Assumptions!$C$98:$M$98))))</f>
        <v>-1550.780754</v>
      </c>
      <c r="CE24" s="54">
        <f t="array" ref="CE24">-(IF(CE$2=1,Assumptions!$P25/12,-(SUMIF($D$2:$EE$2,CE$2-1,$D24:$EE24)/12)*(1+XLOOKUP(CE$2,Assumptions!$C$94:$M$94,Assumptions!$C$98:$M$98))))</f>
        <v>-1550.780754</v>
      </c>
      <c r="CF24" s="54">
        <f t="array" ref="CF24">-(IF(CF$2=1,Assumptions!$P25/12,-(SUMIF($D$2:$EE$2,CF$2-1,$D24:$EE24)/12)*(1+XLOOKUP(CF$2,Assumptions!$C$94:$M$94,Assumptions!$C$98:$M$98))))</f>
        <v>-1550.780754</v>
      </c>
      <c r="CG24" s="54">
        <f t="array" ref="CG24">-(IF(CG$2=1,Assumptions!$P25/12,-(SUMIF($D$2:$EE$2,CG$2-1,$D24:$EE24)/12)*(1+XLOOKUP(CG$2,Assumptions!$C$94:$M$94,Assumptions!$C$98:$M$98))))</f>
        <v>-1550.780754</v>
      </c>
      <c r="CH24" s="54">
        <f t="array" ref="CH24">-(IF(CH$2=1,Assumptions!$P25/12,-(SUMIF($D$2:$EE$2,CH$2-1,$D24:$EE24)/12)*(1+XLOOKUP(CH$2,Assumptions!$C$94:$M$94,Assumptions!$C$98:$M$98))))</f>
        <v>-1550.780754</v>
      </c>
      <c r="CI24" s="54">
        <f t="array" ref="CI24">-(IF(CI$2=1,Assumptions!$P25/12,-(SUMIF($D$2:$EE$2,CI$2-1,$D24:$EE24)/12)*(1+XLOOKUP(CI$2,Assumptions!$C$94:$M$94,Assumptions!$C$98:$M$98))))</f>
        <v>-1550.780754</v>
      </c>
      <c r="CJ24" s="54">
        <f t="array" ref="CJ24">-(IF(CJ$2=1,Assumptions!$P25/12,-(SUMIF($D$2:$EE$2,CJ$2-1,$D24:$EE24)/12)*(1+XLOOKUP(CJ$2,Assumptions!$C$94:$M$94,Assumptions!$C$98:$M$98))))</f>
        <v>-1597.304176</v>
      </c>
      <c r="CK24" s="54">
        <f t="array" ref="CK24">-(IF(CK$2=1,Assumptions!$P25/12,-(SUMIF($D$2:$EE$2,CK$2-1,$D24:$EE24)/12)*(1+XLOOKUP(CK$2,Assumptions!$C$94:$M$94,Assumptions!$C$98:$M$98))))</f>
        <v>-1597.304176</v>
      </c>
      <c r="CL24" s="54">
        <f t="array" ref="CL24">-(IF(CL$2=1,Assumptions!$P25/12,-(SUMIF($D$2:$EE$2,CL$2-1,$D24:$EE24)/12)*(1+XLOOKUP(CL$2,Assumptions!$C$94:$M$94,Assumptions!$C$98:$M$98))))</f>
        <v>-1597.304176</v>
      </c>
      <c r="CM24" s="54">
        <f t="array" ref="CM24">-(IF(CM$2=1,Assumptions!$P25/12,-(SUMIF($D$2:$EE$2,CM$2-1,$D24:$EE24)/12)*(1+XLOOKUP(CM$2,Assumptions!$C$94:$M$94,Assumptions!$C$98:$M$98))))</f>
        <v>-1597.304176</v>
      </c>
      <c r="CN24" s="54">
        <f t="array" ref="CN24">-(IF(CN$2=1,Assumptions!$P25/12,-(SUMIF($D$2:$EE$2,CN$2-1,$D24:$EE24)/12)*(1+XLOOKUP(CN$2,Assumptions!$C$94:$M$94,Assumptions!$C$98:$M$98))))</f>
        <v>-1597.304176</v>
      </c>
      <c r="CO24" s="54">
        <f t="array" ref="CO24">-(IF(CO$2=1,Assumptions!$P25/12,-(SUMIF($D$2:$EE$2,CO$2-1,$D24:$EE24)/12)*(1+XLOOKUP(CO$2,Assumptions!$C$94:$M$94,Assumptions!$C$98:$M$98))))</f>
        <v>-1597.304176</v>
      </c>
      <c r="CP24" s="54">
        <f t="array" ref="CP24">-(IF(CP$2=1,Assumptions!$P25/12,-(SUMIF($D$2:$EE$2,CP$2-1,$D24:$EE24)/12)*(1+XLOOKUP(CP$2,Assumptions!$C$94:$M$94,Assumptions!$C$98:$M$98))))</f>
        <v>-1597.304176</v>
      </c>
      <c r="CQ24" s="54">
        <f t="array" ref="CQ24">-(IF(CQ$2=1,Assumptions!$P25/12,-(SUMIF($D$2:$EE$2,CQ$2-1,$D24:$EE24)/12)*(1+XLOOKUP(CQ$2,Assumptions!$C$94:$M$94,Assumptions!$C$98:$M$98))))</f>
        <v>-1597.304176</v>
      </c>
      <c r="CR24" s="54">
        <f t="array" ref="CR24">-(IF(CR$2=1,Assumptions!$P25/12,-(SUMIF($D$2:$EE$2,CR$2-1,$D24:$EE24)/12)*(1+XLOOKUP(CR$2,Assumptions!$C$94:$M$94,Assumptions!$C$98:$M$98))))</f>
        <v>-1597.304176</v>
      </c>
      <c r="CS24" s="54">
        <f t="array" ref="CS24">-(IF(CS$2=1,Assumptions!$P25/12,-(SUMIF($D$2:$EE$2,CS$2-1,$D24:$EE24)/12)*(1+XLOOKUP(CS$2,Assumptions!$C$94:$M$94,Assumptions!$C$98:$M$98))))</f>
        <v>-1597.304176</v>
      </c>
      <c r="CT24" s="54">
        <f t="array" ref="CT24">-(IF(CT$2=1,Assumptions!$P25/12,-(SUMIF($D$2:$EE$2,CT$2-1,$D24:$EE24)/12)*(1+XLOOKUP(CT$2,Assumptions!$C$94:$M$94,Assumptions!$C$98:$M$98))))</f>
        <v>-1597.304176</v>
      </c>
      <c r="CU24" s="54">
        <f t="array" ref="CU24">-(IF(CU$2=1,Assumptions!$P25/12,-(SUMIF($D$2:$EE$2,CU$2-1,$D24:$EE24)/12)*(1+XLOOKUP(CU$2,Assumptions!$C$94:$M$94,Assumptions!$C$98:$M$98))))</f>
        <v>-1597.304176</v>
      </c>
      <c r="CV24" s="54">
        <f t="array" ref="CV24">-(IF(CV$2=1,Assumptions!$P25/12,-(SUMIF($D$2:$EE$2,CV$2-1,$D24:$EE24)/12)*(1+XLOOKUP(CV$2,Assumptions!$C$94:$M$94,Assumptions!$C$98:$M$98))))</f>
        <v>-1645.223301</v>
      </c>
      <c r="CW24" s="54">
        <f t="array" ref="CW24">-(IF(CW$2=1,Assumptions!$P25/12,-(SUMIF($D$2:$EE$2,CW$2-1,$D24:$EE24)/12)*(1+XLOOKUP(CW$2,Assumptions!$C$94:$M$94,Assumptions!$C$98:$M$98))))</f>
        <v>-1645.223301</v>
      </c>
      <c r="CX24" s="54">
        <f t="array" ref="CX24">-(IF(CX$2=1,Assumptions!$P25/12,-(SUMIF($D$2:$EE$2,CX$2-1,$D24:$EE24)/12)*(1+XLOOKUP(CX$2,Assumptions!$C$94:$M$94,Assumptions!$C$98:$M$98))))</f>
        <v>-1645.223301</v>
      </c>
      <c r="CY24" s="54">
        <f t="array" ref="CY24">-(IF(CY$2=1,Assumptions!$P25/12,-(SUMIF($D$2:$EE$2,CY$2-1,$D24:$EE24)/12)*(1+XLOOKUP(CY$2,Assumptions!$C$94:$M$94,Assumptions!$C$98:$M$98))))</f>
        <v>-1645.223301</v>
      </c>
      <c r="CZ24" s="54">
        <f t="array" ref="CZ24">-(IF(CZ$2=1,Assumptions!$P25/12,-(SUMIF($D$2:$EE$2,CZ$2-1,$D24:$EE24)/12)*(1+XLOOKUP(CZ$2,Assumptions!$C$94:$M$94,Assumptions!$C$98:$M$98))))</f>
        <v>-1645.223301</v>
      </c>
      <c r="DA24" s="54">
        <f t="array" ref="DA24">-(IF(DA$2=1,Assumptions!$P25/12,-(SUMIF($D$2:$EE$2,DA$2-1,$D24:$EE24)/12)*(1+XLOOKUP(DA$2,Assumptions!$C$94:$M$94,Assumptions!$C$98:$M$98))))</f>
        <v>-1645.223301</v>
      </c>
      <c r="DB24" s="54">
        <f t="array" ref="DB24">-(IF(DB$2=1,Assumptions!$P25/12,-(SUMIF($D$2:$EE$2,DB$2-1,$D24:$EE24)/12)*(1+XLOOKUP(DB$2,Assumptions!$C$94:$M$94,Assumptions!$C$98:$M$98))))</f>
        <v>-1645.223301</v>
      </c>
      <c r="DC24" s="54">
        <f t="array" ref="DC24">-(IF(DC$2=1,Assumptions!$P25/12,-(SUMIF($D$2:$EE$2,DC$2-1,$D24:$EE24)/12)*(1+XLOOKUP(DC$2,Assumptions!$C$94:$M$94,Assumptions!$C$98:$M$98))))</f>
        <v>-1645.223301</v>
      </c>
      <c r="DD24" s="54">
        <f t="array" ref="DD24">-(IF(DD$2=1,Assumptions!$P25/12,-(SUMIF($D$2:$EE$2,DD$2-1,$D24:$EE24)/12)*(1+XLOOKUP(DD$2,Assumptions!$C$94:$M$94,Assumptions!$C$98:$M$98))))</f>
        <v>-1645.223301</v>
      </c>
      <c r="DE24" s="54">
        <f t="array" ref="DE24">-(IF(DE$2=1,Assumptions!$P25/12,-(SUMIF($D$2:$EE$2,DE$2-1,$D24:$EE24)/12)*(1+XLOOKUP(DE$2,Assumptions!$C$94:$M$94,Assumptions!$C$98:$M$98))))</f>
        <v>-1645.223301</v>
      </c>
      <c r="DF24" s="54">
        <f t="array" ref="DF24">-(IF(DF$2=1,Assumptions!$P25/12,-(SUMIF($D$2:$EE$2,DF$2-1,$D24:$EE24)/12)*(1+XLOOKUP(DF$2,Assumptions!$C$94:$M$94,Assumptions!$C$98:$M$98))))</f>
        <v>-1645.223301</v>
      </c>
      <c r="DG24" s="54">
        <f t="array" ref="DG24">-(IF(DG$2=1,Assumptions!$P25/12,-(SUMIF($D$2:$EE$2,DG$2-1,$D24:$EE24)/12)*(1+XLOOKUP(DG$2,Assumptions!$C$94:$M$94,Assumptions!$C$98:$M$98))))</f>
        <v>-1645.223301</v>
      </c>
      <c r="DH24" s="54">
        <f t="array" ref="DH24">-(IF(DH$2=1,Assumptions!$P25/12,-(SUMIF($D$2:$EE$2,DH$2-1,$D24:$EE24)/12)*(1+XLOOKUP(DH$2,Assumptions!$C$94:$M$94,Assumptions!$C$98:$M$98))))</f>
        <v>-1694.58</v>
      </c>
      <c r="DI24" s="54">
        <f t="array" ref="DI24">-(IF(DI$2=1,Assumptions!$P25/12,-(SUMIF($D$2:$EE$2,DI$2-1,$D24:$EE24)/12)*(1+XLOOKUP(DI$2,Assumptions!$C$94:$M$94,Assumptions!$C$98:$M$98))))</f>
        <v>-1694.58</v>
      </c>
      <c r="DJ24" s="54">
        <f t="array" ref="DJ24">-(IF(DJ$2=1,Assumptions!$P25/12,-(SUMIF($D$2:$EE$2,DJ$2-1,$D24:$EE24)/12)*(1+XLOOKUP(DJ$2,Assumptions!$C$94:$M$94,Assumptions!$C$98:$M$98))))</f>
        <v>-1694.58</v>
      </c>
      <c r="DK24" s="54">
        <f t="array" ref="DK24">-(IF(DK$2=1,Assumptions!$P25/12,-(SUMIF($D$2:$EE$2,DK$2-1,$D24:$EE24)/12)*(1+XLOOKUP(DK$2,Assumptions!$C$94:$M$94,Assumptions!$C$98:$M$98))))</f>
        <v>-1694.58</v>
      </c>
      <c r="DL24" s="54">
        <f t="array" ref="DL24">-(IF(DL$2=1,Assumptions!$P25/12,-(SUMIF($D$2:$EE$2,DL$2-1,$D24:$EE24)/12)*(1+XLOOKUP(DL$2,Assumptions!$C$94:$M$94,Assumptions!$C$98:$M$98))))</f>
        <v>-1694.58</v>
      </c>
      <c r="DM24" s="54">
        <f t="array" ref="DM24">-(IF(DM$2=1,Assumptions!$P25/12,-(SUMIF($D$2:$EE$2,DM$2-1,$D24:$EE24)/12)*(1+XLOOKUP(DM$2,Assumptions!$C$94:$M$94,Assumptions!$C$98:$M$98))))</f>
        <v>-1694.58</v>
      </c>
      <c r="DN24" s="54">
        <f t="array" ref="DN24">-(IF(DN$2=1,Assumptions!$P25/12,-(SUMIF($D$2:$EE$2,DN$2-1,$D24:$EE24)/12)*(1+XLOOKUP(DN$2,Assumptions!$C$94:$M$94,Assumptions!$C$98:$M$98))))</f>
        <v>-1694.58</v>
      </c>
      <c r="DO24" s="54">
        <f t="array" ref="DO24">-(IF(DO$2=1,Assumptions!$P25/12,-(SUMIF($D$2:$EE$2,DO$2-1,$D24:$EE24)/12)*(1+XLOOKUP(DO$2,Assumptions!$C$94:$M$94,Assumptions!$C$98:$M$98))))</f>
        <v>-1694.58</v>
      </c>
      <c r="DP24" s="54">
        <f t="array" ref="DP24">-(IF(DP$2=1,Assumptions!$P25/12,-(SUMIF($D$2:$EE$2,DP$2-1,$D24:$EE24)/12)*(1+XLOOKUP(DP$2,Assumptions!$C$94:$M$94,Assumptions!$C$98:$M$98))))</f>
        <v>-1694.58</v>
      </c>
      <c r="DQ24" s="54">
        <f t="array" ref="DQ24">-(IF(DQ$2=1,Assumptions!$P25/12,-(SUMIF($D$2:$EE$2,DQ$2-1,$D24:$EE24)/12)*(1+XLOOKUP(DQ$2,Assumptions!$C$94:$M$94,Assumptions!$C$98:$M$98))))</f>
        <v>-1694.58</v>
      </c>
      <c r="DR24" s="54">
        <f t="array" ref="DR24">-(IF(DR$2=1,Assumptions!$P25/12,-(SUMIF($D$2:$EE$2,DR$2-1,$D24:$EE24)/12)*(1+XLOOKUP(DR$2,Assumptions!$C$94:$M$94,Assumptions!$C$98:$M$98))))</f>
        <v>-1694.58</v>
      </c>
      <c r="DS24" s="54">
        <f t="array" ref="DS24">-(IF(DS$2=1,Assumptions!$P25/12,-(SUMIF($D$2:$EE$2,DS$2-1,$D24:$EE24)/12)*(1+XLOOKUP(DS$2,Assumptions!$C$94:$M$94,Assumptions!$C$98:$M$98))))</f>
        <v>-1694.58</v>
      </c>
      <c r="DT24" s="54">
        <f t="array" ref="DT24">-(IF(DT$2=1,Assumptions!$P25/12,-(SUMIF($D$2:$EE$2,DT$2-1,$D24:$EE24)/12)*(1+XLOOKUP(DT$2,Assumptions!$C$94:$M$94,Assumptions!$C$98:$M$98))))</f>
        <v>-1745.4174</v>
      </c>
      <c r="DU24" s="54">
        <f t="array" ref="DU24">-(IF(DU$2=1,Assumptions!$P25/12,-(SUMIF($D$2:$EE$2,DU$2-1,$D24:$EE24)/12)*(1+XLOOKUP(DU$2,Assumptions!$C$94:$M$94,Assumptions!$C$98:$M$98))))</f>
        <v>-1745.4174</v>
      </c>
      <c r="DV24" s="54">
        <f t="array" ref="DV24">-(IF(DV$2=1,Assumptions!$P25/12,-(SUMIF($D$2:$EE$2,DV$2-1,$D24:$EE24)/12)*(1+XLOOKUP(DV$2,Assumptions!$C$94:$M$94,Assumptions!$C$98:$M$98))))</f>
        <v>-1745.4174</v>
      </c>
      <c r="DW24" s="54">
        <f t="array" ref="DW24">-(IF(DW$2=1,Assumptions!$P25/12,-(SUMIF($D$2:$EE$2,DW$2-1,$D24:$EE24)/12)*(1+XLOOKUP(DW$2,Assumptions!$C$94:$M$94,Assumptions!$C$98:$M$98))))</f>
        <v>-1745.4174</v>
      </c>
      <c r="DX24" s="54">
        <f t="array" ref="DX24">-(IF(DX$2=1,Assumptions!$P25/12,-(SUMIF($D$2:$EE$2,DX$2-1,$D24:$EE24)/12)*(1+XLOOKUP(DX$2,Assumptions!$C$94:$M$94,Assumptions!$C$98:$M$98))))</f>
        <v>-1745.4174</v>
      </c>
      <c r="DY24" s="54">
        <f t="array" ref="DY24">-(IF(DY$2=1,Assumptions!$P25/12,-(SUMIF($D$2:$EE$2,DY$2-1,$D24:$EE24)/12)*(1+XLOOKUP(DY$2,Assumptions!$C$94:$M$94,Assumptions!$C$98:$M$98))))</f>
        <v>-1745.4174</v>
      </c>
      <c r="DZ24" s="54">
        <f t="array" ref="DZ24">-(IF(DZ$2=1,Assumptions!$P25/12,-(SUMIF($D$2:$EE$2,DZ$2-1,$D24:$EE24)/12)*(1+XLOOKUP(DZ$2,Assumptions!$C$94:$M$94,Assumptions!$C$98:$M$98))))</f>
        <v>-1745.4174</v>
      </c>
      <c r="EA24" s="54">
        <f t="array" ref="EA24">-(IF(EA$2=1,Assumptions!$P25/12,-(SUMIF($D$2:$EE$2,EA$2-1,$D24:$EE24)/12)*(1+XLOOKUP(EA$2,Assumptions!$C$94:$M$94,Assumptions!$C$98:$M$98))))</f>
        <v>-1745.4174</v>
      </c>
      <c r="EB24" s="54">
        <f t="array" ref="EB24">-(IF(EB$2=1,Assumptions!$P25/12,-(SUMIF($D$2:$EE$2,EB$2-1,$D24:$EE24)/12)*(1+XLOOKUP(EB$2,Assumptions!$C$94:$M$94,Assumptions!$C$98:$M$98))))</f>
        <v>-1745.4174</v>
      </c>
      <c r="EC24" s="54">
        <f t="array" ref="EC24">-(IF(EC$2=1,Assumptions!$P25/12,-(SUMIF($D$2:$EE$2,EC$2-1,$D24:$EE24)/12)*(1+XLOOKUP(EC$2,Assumptions!$C$94:$M$94,Assumptions!$C$98:$M$98))))</f>
        <v>-1745.4174</v>
      </c>
      <c r="ED24" s="54">
        <f t="array" ref="ED24">-(IF(ED$2=1,Assumptions!$P25/12,-(SUMIF($D$2:$EE$2,ED$2-1,$D24:$EE24)/12)*(1+XLOOKUP(ED$2,Assumptions!$C$94:$M$94,Assumptions!$C$98:$M$98))))</f>
        <v>-1745.4174</v>
      </c>
      <c r="EE24" s="54">
        <f t="array" ref="EE24">-(IF(EE$2=1,Assumptions!$P25/12,-(SUMIF($D$2:$EE$2,EE$2-1,$D24:$EE24)/12)*(1+XLOOKUP(EE$2,Assumptions!$C$94:$M$94,Assumptions!$C$98:$M$98))))</f>
        <v>-1745.4174</v>
      </c>
    </row>
    <row r="25" ht="15.75" customHeight="1">
      <c r="A25" s="1"/>
      <c r="B25" s="1"/>
      <c r="C25" s="1" t="str">
        <f>Assumptions!J26</f>
        <v>Payroll</v>
      </c>
      <c r="D25" s="54">
        <f t="array" ref="D25">-(IF(D$2=1,Assumptions!$P26/12,-(SUMIF($D$2:$EE$2,D$2-1,$D25:$EE25)/12)*(1+XLOOKUP(D$2,Assumptions!$C$94:$M$94,Assumptions!$C$98:$M$98))))</f>
        <v>-8836.114217</v>
      </c>
      <c r="E25" s="54">
        <f t="array" ref="E25">-(IF(E$2=1,Assumptions!$P26/12,-(SUMIF($D$2:$EE$2,E$2-1,$D25:$EE25)/12)*(1+XLOOKUP(E$2,Assumptions!$C$94:$M$94,Assumptions!$C$98:$M$98))))</f>
        <v>-8836.114217</v>
      </c>
      <c r="F25" s="54">
        <f t="array" ref="F25">-(IF(F$2=1,Assumptions!$P26/12,-(SUMIF($D$2:$EE$2,F$2-1,$D25:$EE25)/12)*(1+XLOOKUP(F$2,Assumptions!$C$94:$M$94,Assumptions!$C$98:$M$98))))</f>
        <v>-8836.114217</v>
      </c>
      <c r="G25" s="54">
        <f t="array" ref="G25">-(IF(G$2=1,Assumptions!$P26/12,-(SUMIF($D$2:$EE$2,G$2-1,$D25:$EE25)/12)*(1+XLOOKUP(G$2,Assumptions!$C$94:$M$94,Assumptions!$C$98:$M$98))))</f>
        <v>-8836.114217</v>
      </c>
      <c r="H25" s="54">
        <f t="array" ref="H25">-(IF(H$2=1,Assumptions!$P26/12,-(SUMIF($D$2:$EE$2,H$2-1,$D25:$EE25)/12)*(1+XLOOKUP(H$2,Assumptions!$C$94:$M$94,Assumptions!$C$98:$M$98))))</f>
        <v>-8836.114217</v>
      </c>
      <c r="I25" s="54">
        <f t="array" ref="I25">-(IF(I$2=1,Assumptions!$P26/12,-(SUMIF($D$2:$EE$2,I$2-1,$D25:$EE25)/12)*(1+XLOOKUP(I$2,Assumptions!$C$94:$M$94,Assumptions!$C$98:$M$98))))</f>
        <v>-8836.114217</v>
      </c>
      <c r="J25" s="54">
        <f t="array" ref="J25">-(IF(J$2=1,Assumptions!$P26/12,-(SUMIF($D$2:$EE$2,J$2-1,$D25:$EE25)/12)*(1+XLOOKUP(J$2,Assumptions!$C$94:$M$94,Assumptions!$C$98:$M$98))))</f>
        <v>-8836.114217</v>
      </c>
      <c r="K25" s="54">
        <f t="array" ref="K25">-(IF(K$2=1,Assumptions!$P26/12,-(SUMIF($D$2:$EE$2,K$2-1,$D25:$EE25)/12)*(1+XLOOKUP(K$2,Assumptions!$C$94:$M$94,Assumptions!$C$98:$M$98))))</f>
        <v>-8836.114217</v>
      </c>
      <c r="L25" s="54">
        <f t="array" ref="L25">-(IF(L$2=1,Assumptions!$P26/12,-(SUMIF($D$2:$EE$2,L$2-1,$D25:$EE25)/12)*(1+XLOOKUP(L$2,Assumptions!$C$94:$M$94,Assumptions!$C$98:$M$98))))</f>
        <v>-8836.114217</v>
      </c>
      <c r="M25" s="54">
        <f t="array" ref="M25">-(IF(M$2=1,Assumptions!$P26/12,-(SUMIF($D$2:$EE$2,M$2-1,$D25:$EE25)/12)*(1+XLOOKUP(M$2,Assumptions!$C$94:$M$94,Assumptions!$C$98:$M$98))))</f>
        <v>-8836.114217</v>
      </c>
      <c r="N25" s="54">
        <f t="array" ref="N25">-(IF(N$2=1,Assumptions!$P26/12,-(SUMIF($D$2:$EE$2,N$2-1,$D25:$EE25)/12)*(1+XLOOKUP(N$2,Assumptions!$C$94:$M$94,Assumptions!$C$98:$M$98))))</f>
        <v>-8836.114217</v>
      </c>
      <c r="O25" s="54">
        <f t="array" ref="O25">-(IF(O$2=1,Assumptions!$P26/12,-(SUMIF($D$2:$EE$2,O$2-1,$D25:$EE25)/12)*(1+XLOOKUP(O$2,Assumptions!$C$94:$M$94,Assumptions!$C$98:$M$98))))</f>
        <v>-8836.114217</v>
      </c>
      <c r="P25" s="54">
        <f t="array" ref="P25">-(IF(P$2=1,Assumptions!$P26/12,-(SUMIF($D$2:$EE$2,P$2-1,$D25:$EE25)/12)*(1+XLOOKUP(P$2,Assumptions!$C$94:$M$94,Assumptions!$C$98:$M$98))))</f>
        <v>-9101.197643</v>
      </c>
      <c r="Q25" s="54">
        <f t="array" ref="Q25">-(IF(Q$2=1,Assumptions!$P26/12,-(SUMIF($D$2:$EE$2,Q$2-1,$D25:$EE25)/12)*(1+XLOOKUP(Q$2,Assumptions!$C$94:$M$94,Assumptions!$C$98:$M$98))))</f>
        <v>-9101.197643</v>
      </c>
      <c r="R25" s="54">
        <f t="array" ref="R25">-(IF(R$2=1,Assumptions!$P26/12,-(SUMIF($D$2:$EE$2,R$2-1,$D25:$EE25)/12)*(1+XLOOKUP(R$2,Assumptions!$C$94:$M$94,Assumptions!$C$98:$M$98))))</f>
        <v>-9101.197643</v>
      </c>
      <c r="S25" s="54">
        <f t="array" ref="S25">-(IF(S$2=1,Assumptions!$P26/12,-(SUMIF($D$2:$EE$2,S$2-1,$D25:$EE25)/12)*(1+XLOOKUP(S$2,Assumptions!$C$94:$M$94,Assumptions!$C$98:$M$98))))</f>
        <v>-9101.197643</v>
      </c>
      <c r="T25" s="54">
        <f t="array" ref="T25">-(IF(T$2=1,Assumptions!$P26/12,-(SUMIF($D$2:$EE$2,T$2-1,$D25:$EE25)/12)*(1+XLOOKUP(T$2,Assumptions!$C$94:$M$94,Assumptions!$C$98:$M$98))))</f>
        <v>-9101.197643</v>
      </c>
      <c r="U25" s="54">
        <f t="array" ref="U25">-(IF(U$2=1,Assumptions!$P26/12,-(SUMIF($D$2:$EE$2,U$2-1,$D25:$EE25)/12)*(1+XLOOKUP(U$2,Assumptions!$C$94:$M$94,Assumptions!$C$98:$M$98))))</f>
        <v>-9101.197643</v>
      </c>
      <c r="V25" s="54">
        <f t="array" ref="V25">-(IF(V$2=1,Assumptions!$P26/12,-(SUMIF($D$2:$EE$2,V$2-1,$D25:$EE25)/12)*(1+XLOOKUP(V$2,Assumptions!$C$94:$M$94,Assumptions!$C$98:$M$98))))</f>
        <v>-9101.197643</v>
      </c>
      <c r="W25" s="54">
        <f t="array" ref="W25">-(IF(W$2=1,Assumptions!$P26/12,-(SUMIF($D$2:$EE$2,W$2-1,$D25:$EE25)/12)*(1+XLOOKUP(W$2,Assumptions!$C$94:$M$94,Assumptions!$C$98:$M$98))))</f>
        <v>-9101.197643</v>
      </c>
      <c r="X25" s="54">
        <f t="array" ref="X25">-(IF(X$2=1,Assumptions!$P26/12,-(SUMIF($D$2:$EE$2,X$2-1,$D25:$EE25)/12)*(1+XLOOKUP(X$2,Assumptions!$C$94:$M$94,Assumptions!$C$98:$M$98))))</f>
        <v>-9101.197643</v>
      </c>
      <c r="Y25" s="54">
        <f t="array" ref="Y25">-(IF(Y$2=1,Assumptions!$P26/12,-(SUMIF($D$2:$EE$2,Y$2-1,$D25:$EE25)/12)*(1+XLOOKUP(Y$2,Assumptions!$C$94:$M$94,Assumptions!$C$98:$M$98))))</f>
        <v>-9101.197643</v>
      </c>
      <c r="Z25" s="54">
        <f t="array" ref="Z25">-(IF(Z$2=1,Assumptions!$P26/12,-(SUMIF($D$2:$EE$2,Z$2-1,$D25:$EE25)/12)*(1+XLOOKUP(Z$2,Assumptions!$C$94:$M$94,Assumptions!$C$98:$M$98))))</f>
        <v>-9101.197643</v>
      </c>
      <c r="AA25" s="54">
        <f t="array" ref="AA25">-(IF(AA$2=1,Assumptions!$P26/12,-(SUMIF($D$2:$EE$2,AA$2-1,$D25:$EE25)/12)*(1+XLOOKUP(AA$2,Assumptions!$C$94:$M$94,Assumptions!$C$98:$M$98))))</f>
        <v>-9101.197643</v>
      </c>
      <c r="AB25" s="54">
        <f t="array" ref="AB25">-(IF(AB$2=1,Assumptions!$P26/12,-(SUMIF($D$2:$EE$2,AB$2-1,$D25:$EE25)/12)*(1+XLOOKUP(AB$2,Assumptions!$C$94:$M$94,Assumptions!$C$98:$M$98))))</f>
        <v>-9374.233572</v>
      </c>
      <c r="AC25" s="54">
        <f t="array" ref="AC25">-(IF(AC$2=1,Assumptions!$P26/12,-(SUMIF($D$2:$EE$2,AC$2-1,$D25:$EE25)/12)*(1+XLOOKUP(AC$2,Assumptions!$C$94:$M$94,Assumptions!$C$98:$M$98))))</f>
        <v>-9374.233572</v>
      </c>
      <c r="AD25" s="54">
        <f t="array" ref="AD25">-(IF(AD$2=1,Assumptions!$P26/12,-(SUMIF($D$2:$EE$2,AD$2-1,$D25:$EE25)/12)*(1+XLOOKUP(AD$2,Assumptions!$C$94:$M$94,Assumptions!$C$98:$M$98))))</f>
        <v>-9374.233572</v>
      </c>
      <c r="AE25" s="54">
        <f t="array" ref="AE25">-(IF(AE$2=1,Assumptions!$P26/12,-(SUMIF($D$2:$EE$2,AE$2-1,$D25:$EE25)/12)*(1+XLOOKUP(AE$2,Assumptions!$C$94:$M$94,Assumptions!$C$98:$M$98))))</f>
        <v>-9374.233572</v>
      </c>
      <c r="AF25" s="54">
        <f t="array" ref="AF25">-(IF(AF$2=1,Assumptions!$P26/12,-(SUMIF($D$2:$EE$2,AF$2-1,$D25:$EE25)/12)*(1+XLOOKUP(AF$2,Assumptions!$C$94:$M$94,Assumptions!$C$98:$M$98))))</f>
        <v>-9374.233572</v>
      </c>
      <c r="AG25" s="54">
        <f t="array" ref="AG25">-(IF(AG$2=1,Assumptions!$P26/12,-(SUMIF($D$2:$EE$2,AG$2-1,$D25:$EE25)/12)*(1+XLOOKUP(AG$2,Assumptions!$C$94:$M$94,Assumptions!$C$98:$M$98))))</f>
        <v>-9374.233572</v>
      </c>
      <c r="AH25" s="54">
        <f t="array" ref="AH25">-(IF(AH$2=1,Assumptions!$P26/12,-(SUMIF($D$2:$EE$2,AH$2-1,$D25:$EE25)/12)*(1+XLOOKUP(AH$2,Assumptions!$C$94:$M$94,Assumptions!$C$98:$M$98))))</f>
        <v>-9374.233572</v>
      </c>
      <c r="AI25" s="54">
        <f t="array" ref="AI25">-(IF(AI$2=1,Assumptions!$P26/12,-(SUMIF($D$2:$EE$2,AI$2-1,$D25:$EE25)/12)*(1+XLOOKUP(AI$2,Assumptions!$C$94:$M$94,Assumptions!$C$98:$M$98))))</f>
        <v>-9374.233572</v>
      </c>
      <c r="AJ25" s="54">
        <f t="array" ref="AJ25">-(IF(AJ$2=1,Assumptions!$P26/12,-(SUMIF($D$2:$EE$2,AJ$2-1,$D25:$EE25)/12)*(1+XLOOKUP(AJ$2,Assumptions!$C$94:$M$94,Assumptions!$C$98:$M$98))))</f>
        <v>-9374.233572</v>
      </c>
      <c r="AK25" s="54">
        <f t="array" ref="AK25">-(IF(AK$2=1,Assumptions!$P26/12,-(SUMIF($D$2:$EE$2,AK$2-1,$D25:$EE25)/12)*(1+XLOOKUP(AK$2,Assumptions!$C$94:$M$94,Assumptions!$C$98:$M$98))))</f>
        <v>-9374.233572</v>
      </c>
      <c r="AL25" s="54">
        <f t="array" ref="AL25">-(IF(AL$2=1,Assumptions!$P26/12,-(SUMIF($D$2:$EE$2,AL$2-1,$D25:$EE25)/12)*(1+XLOOKUP(AL$2,Assumptions!$C$94:$M$94,Assumptions!$C$98:$M$98))))</f>
        <v>-9374.233572</v>
      </c>
      <c r="AM25" s="54">
        <f t="array" ref="AM25">-(IF(AM$2=1,Assumptions!$P26/12,-(SUMIF($D$2:$EE$2,AM$2-1,$D25:$EE25)/12)*(1+XLOOKUP(AM$2,Assumptions!$C$94:$M$94,Assumptions!$C$98:$M$98))))</f>
        <v>-9374.233572</v>
      </c>
      <c r="AN25" s="54">
        <f t="array" ref="AN25">-(IF(AN$2=1,Assumptions!$P26/12,-(SUMIF($D$2:$EE$2,AN$2-1,$D25:$EE25)/12)*(1+XLOOKUP(AN$2,Assumptions!$C$94:$M$94,Assumptions!$C$98:$M$98))))</f>
        <v>-9655.46058</v>
      </c>
      <c r="AO25" s="54">
        <f t="array" ref="AO25">-(IF(AO$2=1,Assumptions!$P26/12,-(SUMIF($D$2:$EE$2,AO$2-1,$D25:$EE25)/12)*(1+XLOOKUP(AO$2,Assumptions!$C$94:$M$94,Assumptions!$C$98:$M$98))))</f>
        <v>-9655.46058</v>
      </c>
      <c r="AP25" s="54">
        <f t="array" ref="AP25">-(IF(AP$2=1,Assumptions!$P26/12,-(SUMIF($D$2:$EE$2,AP$2-1,$D25:$EE25)/12)*(1+XLOOKUP(AP$2,Assumptions!$C$94:$M$94,Assumptions!$C$98:$M$98))))</f>
        <v>-9655.46058</v>
      </c>
      <c r="AQ25" s="54">
        <f t="array" ref="AQ25">-(IF(AQ$2=1,Assumptions!$P26/12,-(SUMIF($D$2:$EE$2,AQ$2-1,$D25:$EE25)/12)*(1+XLOOKUP(AQ$2,Assumptions!$C$94:$M$94,Assumptions!$C$98:$M$98))))</f>
        <v>-9655.46058</v>
      </c>
      <c r="AR25" s="54">
        <f t="array" ref="AR25">-(IF(AR$2=1,Assumptions!$P26/12,-(SUMIF($D$2:$EE$2,AR$2-1,$D25:$EE25)/12)*(1+XLOOKUP(AR$2,Assumptions!$C$94:$M$94,Assumptions!$C$98:$M$98))))</f>
        <v>-9655.46058</v>
      </c>
      <c r="AS25" s="54">
        <f t="array" ref="AS25">-(IF(AS$2=1,Assumptions!$P26/12,-(SUMIF($D$2:$EE$2,AS$2-1,$D25:$EE25)/12)*(1+XLOOKUP(AS$2,Assumptions!$C$94:$M$94,Assumptions!$C$98:$M$98))))</f>
        <v>-9655.46058</v>
      </c>
      <c r="AT25" s="54">
        <f t="array" ref="AT25">-(IF(AT$2=1,Assumptions!$P26/12,-(SUMIF($D$2:$EE$2,AT$2-1,$D25:$EE25)/12)*(1+XLOOKUP(AT$2,Assumptions!$C$94:$M$94,Assumptions!$C$98:$M$98))))</f>
        <v>-9655.46058</v>
      </c>
      <c r="AU25" s="54">
        <f t="array" ref="AU25">-(IF(AU$2=1,Assumptions!$P26/12,-(SUMIF($D$2:$EE$2,AU$2-1,$D25:$EE25)/12)*(1+XLOOKUP(AU$2,Assumptions!$C$94:$M$94,Assumptions!$C$98:$M$98))))</f>
        <v>-9655.46058</v>
      </c>
      <c r="AV25" s="54">
        <f t="array" ref="AV25">-(IF(AV$2=1,Assumptions!$P26/12,-(SUMIF($D$2:$EE$2,AV$2-1,$D25:$EE25)/12)*(1+XLOOKUP(AV$2,Assumptions!$C$94:$M$94,Assumptions!$C$98:$M$98))))</f>
        <v>-9655.46058</v>
      </c>
      <c r="AW25" s="54">
        <f t="array" ref="AW25">-(IF(AW$2=1,Assumptions!$P26/12,-(SUMIF($D$2:$EE$2,AW$2-1,$D25:$EE25)/12)*(1+XLOOKUP(AW$2,Assumptions!$C$94:$M$94,Assumptions!$C$98:$M$98))))</f>
        <v>-9655.46058</v>
      </c>
      <c r="AX25" s="54">
        <f t="array" ref="AX25">-(IF(AX$2=1,Assumptions!$P26/12,-(SUMIF($D$2:$EE$2,AX$2-1,$D25:$EE25)/12)*(1+XLOOKUP(AX$2,Assumptions!$C$94:$M$94,Assumptions!$C$98:$M$98))))</f>
        <v>-9655.46058</v>
      </c>
      <c r="AY25" s="54">
        <f t="array" ref="AY25">-(IF(AY$2=1,Assumptions!$P26/12,-(SUMIF($D$2:$EE$2,AY$2-1,$D25:$EE25)/12)*(1+XLOOKUP(AY$2,Assumptions!$C$94:$M$94,Assumptions!$C$98:$M$98))))</f>
        <v>-9655.46058</v>
      </c>
      <c r="AZ25" s="54">
        <f t="array" ref="AZ25">-(IF(AZ$2=1,Assumptions!$P26/12,-(SUMIF($D$2:$EE$2,AZ$2-1,$D25:$EE25)/12)*(1+XLOOKUP(AZ$2,Assumptions!$C$94:$M$94,Assumptions!$C$98:$M$98))))</f>
        <v>-9945.124397</v>
      </c>
      <c r="BA25" s="54">
        <f t="array" ref="BA25">-(IF(BA$2=1,Assumptions!$P26/12,-(SUMIF($D$2:$EE$2,BA$2-1,$D25:$EE25)/12)*(1+XLOOKUP(BA$2,Assumptions!$C$94:$M$94,Assumptions!$C$98:$M$98))))</f>
        <v>-9945.124397</v>
      </c>
      <c r="BB25" s="54">
        <f t="array" ref="BB25">-(IF(BB$2=1,Assumptions!$P26/12,-(SUMIF($D$2:$EE$2,BB$2-1,$D25:$EE25)/12)*(1+XLOOKUP(BB$2,Assumptions!$C$94:$M$94,Assumptions!$C$98:$M$98))))</f>
        <v>-9945.124397</v>
      </c>
      <c r="BC25" s="54">
        <f t="array" ref="BC25">-(IF(BC$2=1,Assumptions!$P26/12,-(SUMIF($D$2:$EE$2,BC$2-1,$D25:$EE25)/12)*(1+XLOOKUP(BC$2,Assumptions!$C$94:$M$94,Assumptions!$C$98:$M$98))))</f>
        <v>-9945.124397</v>
      </c>
      <c r="BD25" s="54">
        <f t="array" ref="BD25">-(IF(BD$2=1,Assumptions!$P26/12,-(SUMIF($D$2:$EE$2,BD$2-1,$D25:$EE25)/12)*(1+XLOOKUP(BD$2,Assumptions!$C$94:$M$94,Assumptions!$C$98:$M$98))))</f>
        <v>-9945.124397</v>
      </c>
      <c r="BE25" s="54">
        <f t="array" ref="BE25">-(IF(BE$2=1,Assumptions!$P26/12,-(SUMIF($D$2:$EE$2,BE$2-1,$D25:$EE25)/12)*(1+XLOOKUP(BE$2,Assumptions!$C$94:$M$94,Assumptions!$C$98:$M$98))))</f>
        <v>-9945.124397</v>
      </c>
      <c r="BF25" s="54">
        <f t="array" ref="BF25">-(IF(BF$2=1,Assumptions!$P26/12,-(SUMIF($D$2:$EE$2,BF$2-1,$D25:$EE25)/12)*(1+XLOOKUP(BF$2,Assumptions!$C$94:$M$94,Assumptions!$C$98:$M$98))))</f>
        <v>-9945.124397</v>
      </c>
      <c r="BG25" s="54">
        <f t="array" ref="BG25">-(IF(BG$2=1,Assumptions!$P26/12,-(SUMIF($D$2:$EE$2,BG$2-1,$D25:$EE25)/12)*(1+XLOOKUP(BG$2,Assumptions!$C$94:$M$94,Assumptions!$C$98:$M$98))))</f>
        <v>-9945.124397</v>
      </c>
      <c r="BH25" s="54">
        <f t="array" ref="BH25">-(IF(BH$2=1,Assumptions!$P26/12,-(SUMIF($D$2:$EE$2,BH$2-1,$D25:$EE25)/12)*(1+XLOOKUP(BH$2,Assumptions!$C$94:$M$94,Assumptions!$C$98:$M$98))))</f>
        <v>-9945.124397</v>
      </c>
      <c r="BI25" s="54">
        <f t="array" ref="BI25">-(IF(BI$2=1,Assumptions!$P26/12,-(SUMIF($D$2:$EE$2,BI$2-1,$D25:$EE25)/12)*(1+XLOOKUP(BI$2,Assumptions!$C$94:$M$94,Assumptions!$C$98:$M$98))))</f>
        <v>-9945.124397</v>
      </c>
      <c r="BJ25" s="54">
        <f t="array" ref="BJ25">-(IF(BJ$2=1,Assumptions!$P26/12,-(SUMIF($D$2:$EE$2,BJ$2-1,$D25:$EE25)/12)*(1+XLOOKUP(BJ$2,Assumptions!$C$94:$M$94,Assumptions!$C$98:$M$98))))</f>
        <v>-9945.124397</v>
      </c>
      <c r="BK25" s="54">
        <f t="array" ref="BK25">-(IF(BK$2=1,Assumptions!$P26/12,-(SUMIF($D$2:$EE$2,BK$2-1,$D25:$EE25)/12)*(1+XLOOKUP(BK$2,Assumptions!$C$94:$M$94,Assumptions!$C$98:$M$98))))</f>
        <v>-9945.124397</v>
      </c>
      <c r="BL25" s="54">
        <f t="array" ref="BL25">-(IF(BL$2=1,Assumptions!$P26/12,-(SUMIF($D$2:$EE$2,BL$2-1,$D25:$EE25)/12)*(1+XLOOKUP(BL$2,Assumptions!$C$94:$M$94,Assumptions!$C$98:$M$98))))</f>
        <v>-10243.47813</v>
      </c>
      <c r="BM25" s="54">
        <f t="array" ref="BM25">-(IF(BM$2=1,Assumptions!$P26/12,-(SUMIF($D$2:$EE$2,BM$2-1,$D25:$EE25)/12)*(1+XLOOKUP(BM$2,Assumptions!$C$94:$M$94,Assumptions!$C$98:$M$98))))</f>
        <v>-10243.47813</v>
      </c>
      <c r="BN25" s="54">
        <f t="array" ref="BN25">-(IF(BN$2=1,Assumptions!$P26/12,-(SUMIF($D$2:$EE$2,BN$2-1,$D25:$EE25)/12)*(1+XLOOKUP(BN$2,Assumptions!$C$94:$M$94,Assumptions!$C$98:$M$98))))</f>
        <v>-10243.47813</v>
      </c>
      <c r="BO25" s="54">
        <f t="array" ref="BO25">-(IF(BO$2=1,Assumptions!$P26/12,-(SUMIF($D$2:$EE$2,BO$2-1,$D25:$EE25)/12)*(1+XLOOKUP(BO$2,Assumptions!$C$94:$M$94,Assumptions!$C$98:$M$98))))</f>
        <v>-10243.47813</v>
      </c>
      <c r="BP25" s="54">
        <f t="array" ref="BP25">-(IF(BP$2=1,Assumptions!$P26/12,-(SUMIF($D$2:$EE$2,BP$2-1,$D25:$EE25)/12)*(1+XLOOKUP(BP$2,Assumptions!$C$94:$M$94,Assumptions!$C$98:$M$98))))</f>
        <v>-10243.47813</v>
      </c>
      <c r="BQ25" s="54">
        <f t="array" ref="BQ25">-(IF(BQ$2=1,Assumptions!$P26/12,-(SUMIF($D$2:$EE$2,BQ$2-1,$D25:$EE25)/12)*(1+XLOOKUP(BQ$2,Assumptions!$C$94:$M$94,Assumptions!$C$98:$M$98))))</f>
        <v>-10243.47813</v>
      </c>
      <c r="BR25" s="54">
        <f t="array" ref="BR25">-(IF(BR$2=1,Assumptions!$P26/12,-(SUMIF($D$2:$EE$2,BR$2-1,$D25:$EE25)/12)*(1+XLOOKUP(BR$2,Assumptions!$C$94:$M$94,Assumptions!$C$98:$M$98))))</f>
        <v>-10243.47813</v>
      </c>
      <c r="BS25" s="54">
        <f t="array" ref="BS25">-(IF(BS$2=1,Assumptions!$P26/12,-(SUMIF($D$2:$EE$2,BS$2-1,$D25:$EE25)/12)*(1+XLOOKUP(BS$2,Assumptions!$C$94:$M$94,Assumptions!$C$98:$M$98))))</f>
        <v>-10243.47813</v>
      </c>
      <c r="BT25" s="54">
        <f t="array" ref="BT25">-(IF(BT$2=1,Assumptions!$P26/12,-(SUMIF($D$2:$EE$2,BT$2-1,$D25:$EE25)/12)*(1+XLOOKUP(BT$2,Assumptions!$C$94:$M$94,Assumptions!$C$98:$M$98))))</f>
        <v>-10243.47813</v>
      </c>
      <c r="BU25" s="54">
        <f t="array" ref="BU25">-(IF(BU$2=1,Assumptions!$P26/12,-(SUMIF($D$2:$EE$2,BU$2-1,$D25:$EE25)/12)*(1+XLOOKUP(BU$2,Assumptions!$C$94:$M$94,Assumptions!$C$98:$M$98))))</f>
        <v>-10243.47813</v>
      </c>
      <c r="BV25" s="54">
        <f t="array" ref="BV25">-(IF(BV$2=1,Assumptions!$P26/12,-(SUMIF($D$2:$EE$2,BV$2-1,$D25:$EE25)/12)*(1+XLOOKUP(BV$2,Assumptions!$C$94:$M$94,Assumptions!$C$98:$M$98))))</f>
        <v>-10243.47813</v>
      </c>
      <c r="BW25" s="54">
        <f t="array" ref="BW25">-(IF(BW$2=1,Assumptions!$P26/12,-(SUMIF($D$2:$EE$2,BW$2-1,$D25:$EE25)/12)*(1+XLOOKUP(BW$2,Assumptions!$C$94:$M$94,Assumptions!$C$98:$M$98))))</f>
        <v>-10243.47813</v>
      </c>
      <c r="BX25" s="54">
        <f t="array" ref="BX25">-(IF(BX$2=1,Assumptions!$P26/12,-(SUMIF($D$2:$EE$2,BX$2-1,$D25:$EE25)/12)*(1+XLOOKUP(BX$2,Assumptions!$C$94:$M$94,Assumptions!$C$98:$M$98))))</f>
        <v>-10550.78247</v>
      </c>
      <c r="BY25" s="54">
        <f t="array" ref="BY25">-(IF(BY$2=1,Assumptions!$P26/12,-(SUMIF($D$2:$EE$2,BY$2-1,$D25:$EE25)/12)*(1+XLOOKUP(BY$2,Assumptions!$C$94:$M$94,Assumptions!$C$98:$M$98))))</f>
        <v>-10550.78247</v>
      </c>
      <c r="BZ25" s="54">
        <f t="array" ref="BZ25">-(IF(BZ$2=1,Assumptions!$P26/12,-(SUMIF($D$2:$EE$2,BZ$2-1,$D25:$EE25)/12)*(1+XLOOKUP(BZ$2,Assumptions!$C$94:$M$94,Assumptions!$C$98:$M$98))))</f>
        <v>-10550.78247</v>
      </c>
      <c r="CA25" s="54">
        <f t="array" ref="CA25">-(IF(CA$2=1,Assumptions!$P26/12,-(SUMIF($D$2:$EE$2,CA$2-1,$D25:$EE25)/12)*(1+XLOOKUP(CA$2,Assumptions!$C$94:$M$94,Assumptions!$C$98:$M$98))))</f>
        <v>-10550.78247</v>
      </c>
      <c r="CB25" s="54">
        <f t="array" ref="CB25">-(IF(CB$2=1,Assumptions!$P26/12,-(SUMIF($D$2:$EE$2,CB$2-1,$D25:$EE25)/12)*(1+XLOOKUP(CB$2,Assumptions!$C$94:$M$94,Assumptions!$C$98:$M$98))))</f>
        <v>-10550.78247</v>
      </c>
      <c r="CC25" s="54">
        <f t="array" ref="CC25">-(IF(CC$2=1,Assumptions!$P26/12,-(SUMIF($D$2:$EE$2,CC$2-1,$D25:$EE25)/12)*(1+XLOOKUP(CC$2,Assumptions!$C$94:$M$94,Assumptions!$C$98:$M$98))))</f>
        <v>-10550.78247</v>
      </c>
      <c r="CD25" s="54">
        <f t="array" ref="CD25">-(IF(CD$2=1,Assumptions!$P26/12,-(SUMIF($D$2:$EE$2,CD$2-1,$D25:$EE25)/12)*(1+XLOOKUP(CD$2,Assumptions!$C$94:$M$94,Assumptions!$C$98:$M$98))))</f>
        <v>-10550.78247</v>
      </c>
      <c r="CE25" s="54">
        <f t="array" ref="CE25">-(IF(CE$2=1,Assumptions!$P26/12,-(SUMIF($D$2:$EE$2,CE$2-1,$D25:$EE25)/12)*(1+XLOOKUP(CE$2,Assumptions!$C$94:$M$94,Assumptions!$C$98:$M$98))))</f>
        <v>-10550.78247</v>
      </c>
      <c r="CF25" s="54">
        <f t="array" ref="CF25">-(IF(CF$2=1,Assumptions!$P26/12,-(SUMIF($D$2:$EE$2,CF$2-1,$D25:$EE25)/12)*(1+XLOOKUP(CF$2,Assumptions!$C$94:$M$94,Assumptions!$C$98:$M$98))))</f>
        <v>-10550.78247</v>
      </c>
      <c r="CG25" s="54">
        <f t="array" ref="CG25">-(IF(CG$2=1,Assumptions!$P26/12,-(SUMIF($D$2:$EE$2,CG$2-1,$D25:$EE25)/12)*(1+XLOOKUP(CG$2,Assumptions!$C$94:$M$94,Assumptions!$C$98:$M$98))))</f>
        <v>-10550.78247</v>
      </c>
      <c r="CH25" s="54">
        <f t="array" ref="CH25">-(IF(CH$2=1,Assumptions!$P26/12,-(SUMIF($D$2:$EE$2,CH$2-1,$D25:$EE25)/12)*(1+XLOOKUP(CH$2,Assumptions!$C$94:$M$94,Assumptions!$C$98:$M$98))))</f>
        <v>-10550.78247</v>
      </c>
      <c r="CI25" s="54">
        <f t="array" ref="CI25">-(IF(CI$2=1,Assumptions!$P26/12,-(SUMIF($D$2:$EE$2,CI$2-1,$D25:$EE25)/12)*(1+XLOOKUP(CI$2,Assumptions!$C$94:$M$94,Assumptions!$C$98:$M$98))))</f>
        <v>-10550.78247</v>
      </c>
      <c r="CJ25" s="54">
        <f t="array" ref="CJ25">-(IF(CJ$2=1,Assumptions!$P26/12,-(SUMIF($D$2:$EE$2,CJ$2-1,$D25:$EE25)/12)*(1+XLOOKUP(CJ$2,Assumptions!$C$94:$M$94,Assumptions!$C$98:$M$98))))</f>
        <v>-10867.30595</v>
      </c>
      <c r="CK25" s="54">
        <f t="array" ref="CK25">-(IF(CK$2=1,Assumptions!$P26/12,-(SUMIF($D$2:$EE$2,CK$2-1,$D25:$EE25)/12)*(1+XLOOKUP(CK$2,Assumptions!$C$94:$M$94,Assumptions!$C$98:$M$98))))</f>
        <v>-10867.30595</v>
      </c>
      <c r="CL25" s="54">
        <f t="array" ref="CL25">-(IF(CL$2=1,Assumptions!$P26/12,-(SUMIF($D$2:$EE$2,CL$2-1,$D25:$EE25)/12)*(1+XLOOKUP(CL$2,Assumptions!$C$94:$M$94,Assumptions!$C$98:$M$98))))</f>
        <v>-10867.30595</v>
      </c>
      <c r="CM25" s="54">
        <f t="array" ref="CM25">-(IF(CM$2=1,Assumptions!$P26/12,-(SUMIF($D$2:$EE$2,CM$2-1,$D25:$EE25)/12)*(1+XLOOKUP(CM$2,Assumptions!$C$94:$M$94,Assumptions!$C$98:$M$98))))</f>
        <v>-10867.30595</v>
      </c>
      <c r="CN25" s="54">
        <f t="array" ref="CN25">-(IF(CN$2=1,Assumptions!$P26/12,-(SUMIF($D$2:$EE$2,CN$2-1,$D25:$EE25)/12)*(1+XLOOKUP(CN$2,Assumptions!$C$94:$M$94,Assumptions!$C$98:$M$98))))</f>
        <v>-10867.30595</v>
      </c>
      <c r="CO25" s="54">
        <f t="array" ref="CO25">-(IF(CO$2=1,Assumptions!$P26/12,-(SUMIF($D$2:$EE$2,CO$2-1,$D25:$EE25)/12)*(1+XLOOKUP(CO$2,Assumptions!$C$94:$M$94,Assumptions!$C$98:$M$98))))</f>
        <v>-10867.30595</v>
      </c>
      <c r="CP25" s="54">
        <f t="array" ref="CP25">-(IF(CP$2=1,Assumptions!$P26/12,-(SUMIF($D$2:$EE$2,CP$2-1,$D25:$EE25)/12)*(1+XLOOKUP(CP$2,Assumptions!$C$94:$M$94,Assumptions!$C$98:$M$98))))</f>
        <v>-10867.30595</v>
      </c>
      <c r="CQ25" s="54">
        <f t="array" ref="CQ25">-(IF(CQ$2=1,Assumptions!$P26/12,-(SUMIF($D$2:$EE$2,CQ$2-1,$D25:$EE25)/12)*(1+XLOOKUP(CQ$2,Assumptions!$C$94:$M$94,Assumptions!$C$98:$M$98))))</f>
        <v>-10867.30595</v>
      </c>
      <c r="CR25" s="54">
        <f t="array" ref="CR25">-(IF(CR$2=1,Assumptions!$P26/12,-(SUMIF($D$2:$EE$2,CR$2-1,$D25:$EE25)/12)*(1+XLOOKUP(CR$2,Assumptions!$C$94:$M$94,Assumptions!$C$98:$M$98))))</f>
        <v>-10867.30595</v>
      </c>
      <c r="CS25" s="54">
        <f t="array" ref="CS25">-(IF(CS$2=1,Assumptions!$P26/12,-(SUMIF($D$2:$EE$2,CS$2-1,$D25:$EE25)/12)*(1+XLOOKUP(CS$2,Assumptions!$C$94:$M$94,Assumptions!$C$98:$M$98))))</f>
        <v>-10867.30595</v>
      </c>
      <c r="CT25" s="54">
        <f t="array" ref="CT25">-(IF(CT$2=1,Assumptions!$P26/12,-(SUMIF($D$2:$EE$2,CT$2-1,$D25:$EE25)/12)*(1+XLOOKUP(CT$2,Assumptions!$C$94:$M$94,Assumptions!$C$98:$M$98))))</f>
        <v>-10867.30595</v>
      </c>
      <c r="CU25" s="54">
        <f t="array" ref="CU25">-(IF(CU$2=1,Assumptions!$P26/12,-(SUMIF($D$2:$EE$2,CU$2-1,$D25:$EE25)/12)*(1+XLOOKUP(CU$2,Assumptions!$C$94:$M$94,Assumptions!$C$98:$M$98))))</f>
        <v>-10867.30595</v>
      </c>
      <c r="CV25" s="54">
        <f t="array" ref="CV25">-(IF(CV$2=1,Assumptions!$P26/12,-(SUMIF($D$2:$EE$2,CV$2-1,$D25:$EE25)/12)*(1+XLOOKUP(CV$2,Assumptions!$C$94:$M$94,Assumptions!$C$98:$M$98))))</f>
        <v>-11193.32513</v>
      </c>
      <c r="CW25" s="54">
        <f t="array" ref="CW25">-(IF(CW$2=1,Assumptions!$P26/12,-(SUMIF($D$2:$EE$2,CW$2-1,$D25:$EE25)/12)*(1+XLOOKUP(CW$2,Assumptions!$C$94:$M$94,Assumptions!$C$98:$M$98))))</f>
        <v>-11193.32513</v>
      </c>
      <c r="CX25" s="54">
        <f t="array" ref="CX25">-(IF(CX$2=1,Assumptions!$P26/12,-(SUMIF($D$2:$EE$2,CX$2-1,$D25:$EE25)/12)*(1+XLOOKUP(CX$2,Assumptions!$C$94:$M$94,Assumptions!$C$98:$M$98))))</f>
        <v>-11193.32513</v>
      </c>
      <c r="CY25" s="54">
        <f t="array" ref="CY25">-(IF(CY$2=1,Assumptions!$P26/12,-(SUMIF($D$2:$EE$2,CY$2-1,$D25:$EE25)/12)*(1+XLOOKUP(CY$2,Assumptions!$C$94:$M$94,Assumptions!$C$98:$M$98))))</f>
        <v>-11193.32513</v>
      </c>
      <c r="CZ25" s="54">
        <f t="array" ref="CZ25">-(IF(CZ$2=1,Assumptions!$P26/12,-(SUMIF($D$2:$EE$2,CZ$2-1,$D25:$EE25)/12)*(1+XLOOKUP(CZ$2,Assumptions!$C$94:$M$94,Assumptions!$C$98:$M$98))))</f>
        <v>-11193.32513</v>
      </c>
      <c r="DA25" s="54">
        <f t="array" ref="DA25">-(IF(DA$2=1,Assumptions!$P26/12,-(SUMIF($D$2:$EE$2,DA$2-1,$D25:$EE25)/12)*(1+XLOOKUP(DA$2,Assumptions!$C$94:$M$94,Assumptions!$C$98:$M$98))))</f>
        <v>-11193.32513</v>
      </c>
      <c r="DB25" s="54">
        <f t="array" ref="DB25">-(IF(DB$2=1,Assumptions!$P26/12,-(SUMIF($D$2:$EE$2,DB$2-1,$D25:$EE25)/12)*(1+XLOOKUP(DB$2,Assumptions!$C$94:$M$94,Assumptions!$C$98:$M$98))))</f>
        <v>-11193.32513</v>
      </c>
      <c r="DC25" s="54">
        <f t="array" ref="DC25">-(IF(DC$2=1,Assumptions!$P26/12,-(SUMIF($D$2:$EE$2,DC$2-1,$D25:$EE25)/12)*(1+XLOOKUP(DC$2,Assumptions!$C$94:$M$94,Assumptions!$C$98:$M$98))))</f>
        <v>-11193.32513</v>
      </c>
      <c r="DD25" s="54">
        <f t="array" ref="DD25">-(IF(DD$2=1,Assumptions!$P26/12,-(SUMIF($D$2:$EE$2,DD$2-1,$D25:$EE25)/12)*(1+XLOOKUP(DD$2,Assumptions!$C$94:$M$94,Assumptions!$C$98:$M$98))))</f>
        <v>-11193.32513</v>
      </c>
      <c r="DE25" s="54">
        <f t="array" ref="DE25">-(IF(DE$2=1,Assumptions!$P26/12,-(SUMIF($D$2:$EE$2,DE$2-1,$D25:$EE25)/12)*(1+XLOOKUP(DE$2,Assumptions!$C$94:$M$94,Assumptions!$C$98:$M$98))))</f>
        <v>-11193.32513</v>
      </c>
      <c r="DF25" s="54">
        <f t="array" ref="DF25">-(IF(DF$2=1,Assumptions!$P26/12,-(SUMIF($D$2:$EE$2,DF$2-1,$D25:$EE25)/12)*(1+XLOOKUP(DF$2,Assumptions!$C$94:$M$94,Assumptions!$C$98:$M$98))))</f>
        <v>-11193.32513</v>
      </c>
      <c r="DG25" s="54">
        <f t="array" ref="DG25">-(IF(DG$2=1,Assumptions!$P26/12,-(SUMIF($D$2:$EE$2,DG$2-1,$D25:$EE25)/12)*(1+XLOOKUP(DG$2,Assumptions!$C$94:$M$94,Assumptions!$C$98:$M$98))))</f>
        <v>-11193.32513</v>
      </c>
      <c r="DH25" s="54">
        <f t="array" ref="DH25">-(IF(DH$2=1,Assumptions!$P26/12,-(SUMIF($D$2:$EE$2,DH$2-1,$D25:$EE25)/12)*(1+XLOOKUP(DH$2,Assumptions!$C$94:$M$94,Assumptions!$C$98:$M$98))))</f>
        <v>-11529.12488</v>
      </c>
      <c r="DI25" s="54">
        <f t="array" ref="DI25">-(IF(DI$2=1,Assumptions!$P26/12,-(SUMIF($D$2:$EE$2,DI$2-1,$D25:$EE25)/12)*(1+XLOOKUP(DI$2,Assumptions!$C$94:$M$94,Assumptions!$C$98:$M$98))))</f>
        <v>-11529.12488</v>
      </c>
      <c r="DJ25" s="54">
        <f t="array" ref="DJ25">-(IF(DJ$2=1,Assumptions!$P26/12,-(SUMIF($D$2:$EE$2,DJ$2-1,$D25:$EE25)/12)*(1+XLOOKUP(DJ$2,Assumptions!$C$94:$M$94,Assumptions!$C$98:$M$98))))</f>
        <v>-11529.12488</v>
      </c>
      <c r="DK25" s="54">
        <f t="array" ref="DK25">-(IF(DK$2=1,Assumptions!$P26/12,-(SUMIF($D$2:$EE$2,DK$2-1,$D25:$EE25)/12)*(1+XLOOKUP(DK$2,Assumptions!$C$94:$M$94,Assumptions!$C$98:$M$98))))</f>
        <v>-11529.12488</v>
      </c>
      <c r="DL25" s="54">
        <f t="array" ref="DL25">-(IF(DL$2=1,Assumptions!$P26/12,-(SUMIF($D$2:$EE$2,DL$2-1,$D25:$EE25)/12)*(1+XLOOKUP(DL$2,Assumptions!$C$94:$M$94,Assumptions!$C$98:$M$98))))</f>
        <v>-11529.12488</v>
      </c>
      <c r="DM25" s="54">
        <f t="array" ref="DM25">-(IF(DM$2=1,Assumptions!$P26/12,-(SUMIF($D$2:$EE$2,DM$2-1,$D25:$EE25)/12)*(1+XLOOKUP(DM$2,Assumptions!$C$94:$M$94,Assumptions!$C$98:$M$98))))</f>
        <v>-11529.12488</v>
      </c>
      <c r="DN25" s="54">
        <f t="array" ref="DN25">-(IF(DN$2=1,Assumptions!$P26/12,-(SUMIF($D$2:$EE$2,DN$2-1,$D25:$EE25)/12)*(1+XLOOKUP(DN$2,Assumptions!$C$94:$M$94,Assumptions!$C$98:$M$98))))</f>
        <v>-11529.12488</v>
      </c>
      <c r="DO25" s="54">
        <f t="array" ref="DO25">-(IF(DO$2=1,Assumptions!$P26/12,-(SUMIF($D$2:$EE$2,DO$2-1,$D25:$EE25)/12)*(1+XLOOKUP(DO$2,Assumptions!$C$94:$M$94,Assumptions!$C$98:$M$98))))</f>
        <v>-11529.12488</v>
      </c>
      <c r="DP25" s="54">
        <f t="array" ref="DP25">-(IF(DP$2=1,Assumptions!$P26/12,-(SUMIF($D$2:$EE$2,DP$2-1,$D25:$EE25)/12)*(1+XLOOKUP(DP$2,Assumptions!$C$94:$M$94,Assumptions!$C$98:$M$98))))</f>
        <v>-11529.12488</v>
      </c>
      <c r="DQ25" s="54">
        <f t="array" ref="DQ25">-(IF(DQ$2=1,Assumptions!$P26/12,-(SUMIF($D$2:$EE$2,DQ$2-1,$D25:$EE25)/12)*(1+XLOOKUP(DQ$2,Assumptions!$C$94:$M$94,Assumptions!$C$98:$M$98))))</f>
        <v>-11529.12488</v>
      </c>
      <c r="DR25" s="54">
        <f t="array" ref="DR25">-(IF(DR$2=1,Assumptions!$P26/12,-(SUMIF($D$2:$EE$2,DR$2-1,$D25:$EE25)/12)*(1+XLOOKUP(DR$2,Assumptions!$C$94:$M$94,Assumptions!$C$98:$M$98))))</f>
        <v>-11529.12488</v>
      </c>
      <c r="DS25" s="54">
        <f t="array" ref="DS25">-(IF(DS$2=1,Assumptions!$P26/12,-(SUMIF($D$2:$EE$2,DS$2-1,$D25:$EE25)/12)*(1+XLOOKUP(DS$2,Assumptions!$C$94:$M$94,Assumptions!$C$98:$M$98))))</f>
        <v>-11529.12488</v>
      </c>
      <c r="DT25" s="54">
        <f t="array" ref="DT25">-(IF(DT$2=1,Assumptions!$P26/12,-(SUMIF($D$2:$EE$2,DT$2-1,$D25:$EE25)/12)*(1+XLOOKUP(DT$2,Assumptions!$C$94:$M$94,Assumptions!$C$98:$M$98))))</f>
        <v>-11874.99863</v>
      </c>
      <c r="DU25" s="54">
        <f t="array" ref="DU25">-(IF(DU$2=1,Assumptions!$P26/12,-(SUMIF($D$2:$EE$2,DU$2-1,$D25:$EE25)/12)*(1+XLOOKUP(DU$2,Assumptions!$C$94:$M$94,Assumptions!$C$98:$M$98))))</f>
        <v>-11874.99863</v>
      </c>
      <c r="DV25" s="54">
        <f t="array" ref="DV25">-(IF(DV$2=1,Assumptions!$P26/12,-(SUMIF($D$2:$EE$2,DV$2-1,$D25:$EE25)/12)*(1+XLOOKUP(DV$2,Assumptions!$C$94:$M$94,Assumptions!$C$98:$M$98))))</f>
        <v>-11874.99863</v>
      </c>
      <c r="DW25" s="54">
        <f t="array" ref="DW25">-(IF(DW$2=1,Assumptions!$P26/12,-(SUMIF($D$2:$EE$2,DW$2-1,$D25:$EE25)/12)*(1+XLOOKUP(DW$2,Assumptions!$C$94:$M$94,Assumptions!$C$98:$M$98))))</f>
        <v>-11874.99863</v>
      </c>
      <c r="DX25" s="54">
        <f t="array" ref="DX25">-(IF(DX$2=1,Assumptions!$P26/12,-(SUMIF($D$2:$EE$2,DX$2-1,$D25:$EE25)/12)*(1+XLOOKUP(DX$2,Assumptions!$C$94:$M$94,Assumptions!$C$98:$M$98))))</f>
        <v>-11874.99863</v>
      </c>
      <c r="DY25" s="54">
        <f t="array" ref="DY25">-(IF(DY$2=1,Assumptions!$P26/12,-(SUMIF($D$2:$EE$2,DY$2-1,$D25:$EE25)/12)*(1+XLOOKUP(DY$2,Assumptions!$C$94:$M$94,Assumptions!$C$98:$M$98))))</f>
        <v>-11874.99863</v>
      </c>
      <c r="DZ25" s="54">
        <f t="array" ref="DZ25">-(IF(DZ$2=1,Assumptions!$P26/12,-(SUMIF($D$2:$EE$2,DZ$2-1,$D25:$EE25)/12)*(1+XLOOKUP(DZ$2,Assumptions!$C$94:$M$94,Assumptions!$C$98:$M$98))))</f>
        <v>-11874.99863</v>
      </c>
      <c r="EA25" s="54">
        <f t="array" ref="EA25">-(IF(EA$2=1,Assumptions!$P26/12,-(SUMIF($D$2:$EE$2,EA$2-1,$D25:$EE25)/12)*(1+XLOOKUP(EA$2,Assumptions!$C$94:$M$94,Assumptions!$C$98:$M$98))))</f>
        <v>-11874.99863</v>
      </c>
      <c r="EB25" s="54">
        <f t="array" ref="EB25">-(IF(EB$2=1,Assumptions!$P26/12,-(SUMIF($D$2:$EE$2,EB$2-1,$D25:$EE25)/12)*(1+XLOOKUP(EB$2,Assumptions!$C$94:$M$94,Assumptions!$C$98:$M$98))))</f>
        <v>-11874.99863</v>
      </c>
      <c r="EC25" s="54">
        <f t="array" ref="EC25">-(IF(EC$2=1,Assumptions!$P26/12,-(SUMIF($D$2:$EE$2,EC$2-1,$D25:$EE25)/12)*(1+XLOOKUP(EC$2,Assumptions!$C$94:$M$94,Assumptions!$C$98:$M$98))))</f>
        <v>-11874.99863</v>
      </c>
      <c r="ED25" s="54">
        <f t="array" ref="ED25">-(IF(ED$2=1,Assumptions!$P26/12,-(SUMIF($D$2:$EE$2,ED$2-1,$D25:$EE25)/12)*(1+XLOOKUP(ED$2,Assumptions!$C$94:$M$94,Assumptions!$C$98:$M$98))))</f>
        <v>-11874.99863</v>
      </c>
      <c r="EE25" s="54">
        <f t="array" ref="EE25">-(IF(EE$2=1,Assumptions!$P26/12,-(SUMIF($D$2:$EE$2,EE$2-1,$D25:$EE25)/12)*(1+XLOOKUP(EE$2,Assumptions!$C$94:$M$94,Assumptions!$C$98:$M$98))))</f>
        <v>-11874.99863</v>
      </c>
    </row>
    <row r="26" ht="15.75" customHeight="1">
      <c r="A26" s="1"/>
      <c r="B26" s="1"/>
      <c r="C26" s="1" t="str">
        <f>Assumptions!J27</f>
        <v>Electricity</v>
      </c>
      <c r="D26" s="54">
        <f t="array" ref="D26">-(IF(D$2=1,Assumptions!$P27/12,-(SUMIF($D$2:$EE$2,D$2-1,$D26:$EE26)/12)*(1+XLOOKUP(D$2,Assumptions!$C$94:$M$94,Assumptions!$C$98:$M$98))))</f>
        <v>-11054.0424</v>
      </c>
      <c r="E26" s="54">
        <f t="array" ref="E26">-(IF(E$2=1,Assumptions!$P27/12,-(SUMIF($D$2:$EE$2,E$2-1,$D26:$EE26)/12)*(1+XLOOKUP(E$2,Assumptions!$C$94:$M$94,Assumptions!$C$98:$M$98))))</f>
        <v>-11054.0424</v>
      </c>
      <c r="F26" s="54">
        <f t="array" ref="F26">-(IF(F$2=1,Assumptions!$P27/12,-(SUMIF($D$2:$EE$2,F$2-1,$D26:$EE26)/12)*(1+XLOOKUP(F$2,Assumptions!$C$94:$M$94,Assumptions!$C$98:$M$98))))</f>
        <v>-11054.0424</v>
      </c>
      <c r="G26" s="54">
        <f t="array" ref="G26">-(IF(G$2=1,Assumptions!$P27/12,-(SUMIF($D$2:$EE$2,G$2-1,$D26:$EE26)/12)*(1+XLOOKUP(G$2,Assumptions!$C$94:$M$94,Assumptions!$C$98:$M$98))))</f>
        <v>-11054.0424</v>
      </c>
      <c r="H26" s="54">
        <f t="array" ref="H26">-(IF(H$2=1,Assumptions!$P27/12,-(SUMIF($D$2:$EE$2,H$2-1,$D26:$EE26)/12)*(1+XLOOKUP(H$2,Assumptions!$C$94:$M$94,Assumptions!$C$98:$M$98))))</f>
        <v>-11054.0424</v>
      </c>
      <c r="I26" s="54">
        <f t="array" ref="I26">-(IF(I$2=1,Assumptions!$P27/12,-(SUMIF($D$2:$EE$2,I$2-1,$D26:$EE26)/12)*(1+XLOOKUP(I$2,Assumptions!$C$94:$M$94,Assumptions!$C$98:$M$98))))</f>
        <v>-11054.0424</v>
      </c>
      <c r="J26" s="54">
        <f t="array" ref="J26">-(IF(J$2=1,Assumptions!$P27/12,-(SUMIF($D$2:$EE$2,J$2-1,$D26:$EE26)/12)*(1+XLOOKUP(J$2,Assumptions!$C$94:$M$94,Assumptions!$C$98:$M$98))))</f>
        <v>-11054.0424</v>
      </c>
      <c r="K26" s="54">
        <f t="array" ref="K26">-(IF(K$2=1,Assumptions!$P27/12,-(SUMIF($D$2:$EE$2,K$2-1,$D26:$EE26)/12)*(1+XLOOKUP(K$2,Assumptions!$C$94:$M$94,Assumptions!$C$98:$M$98))))</f>
        <v>-11054.0424</v>
      </c>
      <c r="L26" s="54">
        <f t="array" ref="L26">-(IF(L$2=1,Assumptions!$P27/12,-(SUMIF($D$2:$EE$2,L$2-1,$D26:$EE26)/12)*(1+XLOOKUP(L$2,Assumptions!$C$94:$M$94,Assumptions!$C$98:$M$98))))</f>
        <v>-11054.0424</v>
      </c>
      <c r="M26" s="54">
        <f t="array" ref="M26">-(IF(M$2=1,Assumptions!$P27/12,-(SUMIF($D$2:$EE$2,M$2-1,$D26:$EE26)/12)*(1+XLOOKUP(M$2,Assumptions!$C$94:$M$94,Assumptions!$C$98:$M$98))))</f>
        <v>-11054.0424</v>
      </c>
      <c r="N26" s="54">
        <f t="array" ref="N26">-(IF(N$2=1,Assumptions!$P27/12,-(SUMIF($D$2:$EE$2,N$2-1,$D26:$EE26)/12)*(1+XLOOKUP(N$2,Assumptions!$C$94:$M$94,Assumptions!$C$98:$M$98))))</f>
        <v>-11054.0424</v>
      </c>
      <c r="O26" s="54">
        <f t="array" ref="O26">-(IF(O$2=1,Assumptions!$P27/12,-(SUMIF($D$2:$EE$2,O$2-1,$D26:$EE26)/12)*(1+XLOOKUP(O$2,Assumptions!$C$94:$M$94,Assumptions!$C$98:$M$98))))</f>
        <v>-11054.0424</v>
      </c>
      <c r="P26" s="54">
        <f t="array" ref="P26">-(IF(P$2=1,Assumptions!$P27/12,-(SUMIF($D$2:$EE$2,P$2-1,$D26:$EE26)/12)*(1+XLOOKUP(P$2,Assumptions!$C$94:$M$94,Assumptions!$C$98:$M$98))))</f>
        <v>-11385.66367</v>
      </c>
      <c r="Q26" s="54">
        <f t="array" ref="Q26">-(IF(Q$2=1,Assumptions!$P27/12,-(SUMIF($D$2:$EE$2,Q$2-1,$D26:$EE26)/12)*(1+XLOOKUP(Q$2,Assumptions!$C$94:$M$94,Assumptions!$C$98:$M$98))))</f>
        <v>-11385.66367</v>
      </c>
      <c r="R26" s="54">
        <f t="array" ref="R26">-(IF(R$2=1,Assumptions!$P27/12,-(SUMIF($D$2:$EE$2,R$2-1,$D26:$EE26)/12)*(1+XLOOKUP(R$2,Assumptions!$C$94:$M$94,Assumptions!$C$98:$M$98))))</f>
        <v>-11385.66367</v>
      </c>
      <c r="S26" s="54">
        <f t="array" ref="S26">-(IF(S$2=1,Assumptions!$P27/12,-(SUMIF($D$2:$EE$2,S$2-1,$D26:$EE26)/12)*(1+XLOOKUP(S$2,Assumptions!$C$94:$M$94,Assumptions!$C$98:$M$98))))</f>
        <v>-11385.66367</v>
      </c>
      <c r="T26" s="54">
        <f t="array" ref="T26">-(IF(T$2=1,Assumptions!$P27/12,-(SUMIF($D$2:$EE$2,T$2-1,$D26:$EE26)/12)*(1+XLOOKUP(T$2,Assumptions!$C$94:$M$94,Assumptions!$C$98:$M$98))))</f>
        <v>-11385.66367</v>
      </c>
      <c r="U26" s="54">
        <f t="array" ref="U26">-(IF(U$2=1,Assumptions!$P27/12,-(SUMIF($D$2:$EE$2,U$2-1,$D26:$EE26)/12)*(1+XLOOKUP(U$2,Assumptions!$C$94:$M$94,Assumptions!$C$98:$M$98))))</f>
        <v>-11385.66367</v>
      </c>
      <c r="V26" s="54">
        <f t="array" ref="V26">-(IF(V$2=1,Assumptions!$P27/12,-(SUMIF($D$2:$EE$2,V$2-1,$D26:$EE26)/12)*(1+XLOOKUP(V$2,Assumptions!$C$94:$M$94,Assumptions!$C$98:$M$98))))</f>
        <v>-11385.66367</v>
      </c>
      <c r="W26" s="54">
        <f t="array" ref="W26">-(IF(W$2=1,Assumptions!$P27/12,-(SUMIF($D$2:$EE$2,W$2-1,$D26:$EE26)/12)*(1+XLOOKUP(W$2,Assumptions!$C$94:$M$94,Assumptions!$C$98:$M$98))))</f>
        <v>-11385.66367</v>
      </c>
      <c r="X26" s="54">
        <f t="array" ref="X26">-(IF(X$2=1,Assumptions!$P27/12,-(SUMIF($D$2:$EE$2,X$2-1,$D26:$EE26)/12)*(1+XLOOKUP(X$2,Assumptions!$C$94:$M$94,Assumptions!$C$98:$M$98))))</f>
        <v>-11385.66367</v>
      </c>
      <c r="Y26" s="54">
        <f t="array" ref="Y26">-(IF(Y$2=1,Assumptions!$P27/12,-(SUMIF($D$2:$EE$2,Y$2-1,$D26:$EE26)/12)*(1+XLOOKUP(Y$2,Assumptions!$C$94:$M$94,Assumptions!$C$98:$M$98))))</f>
        <v>-11385.66367</v>
      </c>
      <c r="Z26" s="54">
        <f t="array" ref="Z26">-(IF(Z$2=1,Assumptions!$P27/12,-(SUMIF($D$2:$EE$2,Z$2-1,$D26:$EE26)/12)*(1+XLOOKUP(Z$2,Assumptions!$C$94:$M$94,Assumptions!$C$98:$M$98))))</f>
        <v>-11385.66367</v>
      </c>
      <c r="AA26" s="54">
        <f t="array" ref="AA26">-(IF(AA$2=1,Assumptions!$P27/12,-(SUMIF($D$2:$EE$2,AA$2-1,$D26:$EE26)/12)*(1+XLOOKUP(AA$2,Assumptions!$C$94:$M$94,Assumptions!$C$98:$M$98))))</f>
        <v>-11385.66367</v>
      </c>
      <c r="AB26" s="54">
        <f t="array" ref="AB26">-(IF(AB$2=1,Assumptions!$P27/12,-(SUMIF($D$2:$EE$2,AB$2-1,$D26:$EE26)/12)*(1+XLOOKUP(AB$2,Assumptions!$C$94:$M$94,Assumptions!$C$98:$M$98))))</f>
        <v>-11727.23358</v>
      </c>
      <c r="AC26" s="54">
        <f t="array" ref="AC26">-(IF(AC$2=1,Assumptions!$P27/12,-(SUMIF($D$2:$EE$2,AC$2-1,$D26:$EE26)/12)*(1+XLOOKUP(AC$2,Assumptions!$C$94:$M$94,Assumptions!$C$98:$M$98))))</f>
        <v>-11727.23358</v>
      </c>
      <c r="AD26" s="54">
        <f t="array" ref="AD26">-(IF(AD$2=1,Assumptions!$P27/12,-(SUMIF($D$2:$EE$2,AD$2-1,$D26:$EE26)/12)*(1+XLOOKUP(AD$2,Assumptions!$C$94:$M$94,Assumptions!$C$98:$M$98))))</f>
        <v>-11727.23358</v>
      </c>
      <c r="AE26" s="54">
        <f t="array" ref="AE26">-(IF(AE$2=1,Assumptions!$P27/12,-(SUMIF($D$2:$EE$2,AE$2-1,$D26:$EE26)/12)*(1+XLOOKUP(AE$2,Assumptions!$C$94:$M$94,Assumptions!$C$98:$M$98))))</f>
        <v>-11727.23358</v>
      </c>
      <c r="AF26" s="54">
        <f t="array" ref="AF26">-(IF(AF$2=1,Assumptions!$P27/12,-(SUMIF($D$2:$EE$2,AF$2-1,$D26:$EE26)/12)*(1+XLOOKUP(AF$2,Assumptions!$C$94:$M$94,Assumptions!$C$98:$M$98))))</f>
        <v>-11727.23358</v>
      </c>
      <c r="AG26" s="54">
        <f t="array" ref="AG26">-(IF(AG$2=1,Assumptions!$P27/12,-(SUMIF($D$2:$EE$2,AG$2-1,$D26:$EE26)/12)*(1+XLOOKUP(AG$2,Assumptions!$C$94:$M$94,Assumptions!$C$98:$M$98))))</f>
        <v>-11727.23358</v>
      </c>
      <c r="AH26" s="54">
        <f t="array" ref="AH26">-(IF(AH$2=1,Assumptions!$P27/12,-(SUMIF($D$2:$EE$2,AH$2-1,$D26:$EE26)/12)*(1+XLOOKUP(AH$2,Assumptions!$C$94:$M$94,Assumptions!$C$98:$M$98))))</f>
        <v>-11727.23358</v>
      </c>
      <c r="AI26" s="54">
        <f t="array" ref="AI26">-(IF(AI$2=1,Assumptions!$P27/12,-(SUMIF($D$2:$EE$2,AI$2-1,$D26:$EE26)/12)*(1+XLOOKUP(AI$2,Assumptions!$C$94:$M$94,Assumptions!$C$98:$M$98))))</f>
        <v>-11727.23358</v>
      </c>
      <c r="AJ26" s="54">
        <f t="array" ref="AJ26">-(IF(AJ$2=1,Assumptions!$P27/12,-(SUMIF($D$2:$EE$2,AJ$2-1,$D26:$EE26)/12)*(1+XLOOKUP(AJ$2,Assumptions!$C$94:$M$94,Assumptions!$C$98:$M$98))))</f>
        <v>-11727.23358</v>
      </c>
      <c r="AK26" s="54">
        <f t="array" ref="AK26">-(IF(AK$2=1,Assumptions!$P27/12,-(SUMIF($D$2:$EE$2,AK$2-1,$D26:$EE26)/12)*(1+XLOOKUP(AK$2,Assumptions!$C$94:$M$94,Assumptions!$C$98:$M$98))))</f>
        <v>-11727.23358</v>
      </c>
      <c r="AL26" s="54">
        <f t="array" ref="AL26">-(IF(AL$2=1,Assumptions!$P27/12,-(SUMIF($D$2:$EE$2,AL$2-1,$D26:$EE26)/12)*(1+XLOOKUP(AL$2,Assumptions!$C$94:$M$94,Assumptions!$C$98:$M$98))))</f>
        <v>-11727.23358</v>
      </c>
      <c r="AM26" s="54">
        <f t="array" ref="AM26">-(IF(AM$2=1,Assumptions!$P27/12,-(SUMIF($D$2:$EE$2,AM$2-1,$D26:$EE26)/12)*(1+XLOOKUP(AM$2,Assumptions!$C$94:$M$94,Assumptions!$C$98:$M$98))))</f>
        <v>-11727.23358</v>
      </c>
      <c r="AN26" s="54">
        <f t="array" ref="AN26">-(IF(AN$2=1,Assumptions!$P27/12,-(SUMIF($D$2:$EE$2,AN$2-1,$D26:$EE26)/12)*(1+XLOOKUP(AN$2,Assumptions!$C$94:$M$94,Assumptions!$C$98:$M$98))))</f>
        <v>-12079.05059</v>
      </c>
      <c r="AO26" s="54">
        <f t="array" ref="AO26">-(IF(AO$2=1,Assumptions!$P27/12,-(SUMIF($D$2:$EE$2,AO$2-1,$D26:$EE26)/12)*(1+XLOOKUP(AO$2,Assumptions!$C$94:$M$94,Assumptions!$C$98:$M$98))))</f>
        <v>-12079.05059</v>
      </c>
      <c r="AP26" s="54">
        <f t="array" ref="AP26">-(IF(AP$2=1,Assumptions!$P27/12,-(SUMIF($D$2:$EE$2,AP$2-1,$D26:$EE26)/12)*(1+XLOOKUP(AP$2,Assumptions!$C$94:$M$94,Assumptions!$C$98:$M$98))))</f>
        <v>-12079.05059</v>
      </c>
      <c r="AQ26" s="54">
        <f t="array" ref="AQ26">-(IF(AQ$2=1,Assumptions!$P27/12,-(SUMIF($D$2:$EE$2,AQ$2-1,$D26:$EE26)/12)*(1+XLOOKUP(AQ$2,Assumptions!$C$94:$M$94,Assumptions!$C$98:$M$98))))</f>
        <v>-12079.05059</v>
      </c>
      <c r="AR26" s="54">
        <f t="array" ref="AR26">-(IF(AR$2=1,Assumptions!$P27/12,-(SUMIF($D$2:$EE$2,AR$2-1,$D26:$EE26)/12)*(1+XLOOKUP(AR$2,Assumptions!$C$94:$M$94,Assumptions!$C$98:$M$98))))</f>
        <v>-12079.05059</v>
      </c>
      <c r="AS26" s="54">
        <f t="array" ref="AS26">-(IF(AS$2=1,Assumptions!$P27/12,-(SUMIF($D$2:$EE$2,AS$2-1,$D26:$EE26)/12)*(1+XLOOKUP(AS$2,Assumptions!$C$94:$M$94,Assumptions!$C$98:$M$98))))</f>
        <v>-12079.05059</v>
      </c>
      <c r="AT26" s="54">
        <f t="array" ref="AT26">-(IF(AT$2=1,Assumptions!$P27/12,-(SUMIF($D$2:$EE$2,AT$2-1,$D26:$EE26)/12)*(1+XLOOKUP(AT$2,Assumptions!$C$94:$M$94,Assumptions!$C$98:$M$98))))</f>
        <v>-12079.05059</v>
      </c>
      <c r="AU26" s="54">
        <f t="array" ref="AU26">-(IF(AU$2=1,Assumptions!$P27/12,-(SUMIF($D$2:$EE$2,AU$2-1,$D26:$EE26)/12)*(1+XLOOKUP(AU$2,Assumptions!$C$94:$M$94,Assumptions!$C$98:$M$98))))</f>
        <v>-12079.05059</v>
      </c>
      <c r="AV26" s="54">
        <f t="array" ref="AV26">-(IF(AV$2=1,Assumptions!$P27/12,-(SUMIF($D$2:$EE$2,AV$2-1,$D26:$EE26)/12)*(1+XLOOKUP(AV$2,Assumptions!$C$94:$M$94,Assumptions!$C$98:$M$98))))</f>
        <v>-12079.05059</v>
      </c>
      <c r="AW26" s="54">
        <f t="array" ref="AW26">-(IF(AW$2=1,Assumptions!$P27/12,-(SUMIF($D$2:$EE$2,AW$2-1,$D26:$EE26)/12)*(1+XLOOKUP(AW$2,Assumptions!$C$94:$M$94,Assumptions!$C$98:$M$98))))</f>
        <v>-12079.05059</v>
      </c>
      <c r="AX26" s="54">
        <f t="array" ref="AX26">-(IF(AX$2=1,Assumptions!$P27/12,-(SUMIF($D$2:$EE$2,AX$2-1,$D26:$EE26)/12)*(1+XLOOKUP(AX$2,Assumptions!$C$94:$M$94,Assumptions!$C$98:$M$98))))</f>
        <v>-12079.05059</v>
      </c>
      <c r="AY26" s="54">
        <f t="array" ref="AY26">-(IF(AY$2=1,Assumptions!$P27/12,-(SUMIF($D$2:$EE$2,AY$2-1,$D26:$EE26)/12)*(1+XLOOKUP(AY$2,Assumptions!$C$94:$M$94,Assumptions!$C$98:$M$98))))</f>
        <v>-12079.05059</v>
      </c>
      <c r="AZ26" s="54">
        <f t="array" ref="AZ26">-(IF(AZ$2=1,Assumptions!$P27/12,-(SUMIF($D$2:$EE$2,AZ$2-1,$D26:$EE26)/12)*(1+XLOOKUP(AZ$2,Assumptions!$C$94:$M$94,Assumptions!$C$98:$M$98))))</f>
        <v>-12441.42211</v>
      </c>
      <c r="BA26" s="54">
        <f t="array" ref="BA26">-(IF(BA$2=1,Assumptions!$P27/12,-(SUMIF($D$2:$EE$2,BA$2-1,$D26:$EE26)/12)*(1+XLOOKUP(BA$2,Assumptions!$C$94:$M$94,Assumptions!$C$98:$M$98))))</f>
        <v>-12441.42211</v>
      </c>
      <c r="BB26" s="54">
        <f t="array" ref="BB26">-(IF(BB$2=1,Assumptions!$P27/12,-(SUMIF($D$2:$EE$2,BB$2-1,$D26:$EE26)/12)*(1+XLOOKUP(BB$2,Assumptions!$C$94:$M$94,Assumptions!$C$98:$M$98))))</f>
        <v>-12441.42211</v>
      </c>
      <c r="BC26" s="54">
        <f t="array" ref="BC26">-(IF(BC$2=1,Assumptions!$P27/12,-(SUMIF($D$2:$EE$2,BC$2-1,$D26:$EE26)/12)*(1+XLOOKUP(BC$2,Assumptions!$C$94:$M$94,Assumptions!$C$98:$M$98))))</f>
        <v>-12441.42211</v>
      </c>
      <c r="BD26" s="54">
        <f t="array" ref="BD26">-(IF(BD$2=1,Assumptions!$P27/12,-(SUMIF($D$2:$EE$2,BD$2-1,$D26:$EE26)/12)*(1+XLOOKUP(BD$2,Assumptions!$C$94:$M$94,Assumptions!$C$98:$M$98))))</f>
        <v>-12441.42211</v>
      </c>
      <c r="BE26" s="54">
        <f t="array" ref="BE26">-(IF(BE$2=1,Assumptions!$P27/12,-(SUMIF($D$2:$EE$2,BE$2-1,$D26:$EE26)/12)*(1+XLOOKUP(BE$2,Assumptions!$C$94:$M$94,Assumptions!$C$98:$M$98))))</f>
        <v>-12441.42211</v>
      </c>
      <c r="BF26" s="54">
        <f t="array" ref="BF26">-(IF(BF$2=1,Assumptions!$P27/12,-(SUMIF($D$2:$EE$2,BF$2-1,$D26:$EE26)/12)*(1+XLOOKUP(BF$2,Assumptions!$C$94:$M$94,Assumptions!$C$98:$M$98))))</f>
        <v>-12441.42211</v>
      </c>
      <c r="BG26" s="54">
        <f t="array" ref="BG26">-(IF(BG$2=1,Assumptions!$P27/12,-(SUMIF($D$2:$EE$2,BG$2-1,$D26:$EE26)/12)*(1+XLOOKUP(BG$2,Assumptions!$C$94:$M$94,Assumptions!$C$98:$M$98))))</f>
        <v>-12441.42211</v>
      </c>
      <c r="BH26" s="54">
        <f t="array" ref="BH26">-(IF(BH$2=1,Assumptions!$P27/12,-(SUMIF($D$2:$EE$2,BH$2-1,$D26:$EE26)/12)*(1+XLOOKUP(BH$2,Assumptions!$C$94:$M$94,Assumptions!$C$98:$M$98))))</f>
        <v>-12441.42211</v>
      </c>
      <c r="BI26" s="54">
        <f t="array" ref="BI26">-(IF(BI$2=1,Assumptions!$P27/12,-(SUMIF($D$2:$EE$2,BI$2-1,$D26:$EE26)/12)*(1+XLOOKUP(BI$2,Assumptions!$C$94:$M$94,Assumptions!$C$98:$M$98))))</f>
        <v>-12441.42211</v>
      </c>
      <c r="BJ26" s="54">
        <f t="array" ref="BJ26">-(IF(BJ$2=1,Assumptions!$P27/12,-(SUMIF($D$2:$EE$2,BJ$2-1,$D26:$EE26)/12)*(1+XLOOKUP(BJ$2,Assumptions!$C$94:$M$94,Assumptions!$C$98:$M$98))))</f>
        <v>-12441.42211</v>
      </c>
      <c r="BK26" s="54">
        <f t="array" ref="BK26">-(IF(BK$2=1,Assumptions!$P27/12,-(SUMIF($D$2:$EE$2,BK$2-1,$D26:$EE26)/12)*(1+XLOOKUP(BK$2,Assumptions!$C$94:$M$94,Assumptions!$C$98:$M$98))))</f>
        <v>-12441.42211</v>
      </c>
      <c r="BL26" s="54">
        <f t="array" ref="BL26">-(IF(BL$2=1,Assumptions!$P27/12,-(SUMIF($D$2:$EE$2,BL$2-1,$D26:$EE26)/12)*(1+XLOOKUP(BL$2,Assumptions!$C$94:$M$94,Assumptions!$C$98:$M$98))))</f>
        <v>-12814.66477</v>
      </c>
      <c r="BM26" s="54">
        <f t="array" ref="BM26">-(IF(BM$2=1,Assumptions!$P27/12,-(SUMIF($D$2:$EE$2,BM$2-1,$D26:$EE26)/12)*(1+XLOOKUP(BM$2,Assumptions!$C$94:$M$94,Assumptions!$C$98:$M$98))))</f>
        <v>-12814.66477</v>
      </c>
      <c r="BN26" s="54">
        <f t="array" ref="BN26">-(IF(BN$2=1,Assumptions!$P27/12,-(SUMIF($D$2:$EE$2,BN$2-1,$D26:$EE26)/12)*(1+XLOOKUP(BN$2,Assumptions!$C$94:$M$94,Assumptions!$C$98:$M$98))))</f>
        <v>-12814.66477</v>
      </c>
      <c r="BO26" s="54">
        <f t="array" ref="BO26">-(IF(BO$2=1,Assumptions!$P27/12,-(SUMIF($D$2:$EE$2,BO$2-1,$D26:$EE26)/12)*(1+XLOOKUP(BO$2,Assumptions!$C$94:$M$94,Assumptions!$C$98:$M$98))))</f>
        <v>-12814.66477</v>
      </c>
      <c r="BP26" s="54">
        <f t="array" ref="BP26">-(IF(BP$2=1,Assumptions!$P27/12,-(SUMIF($D$2:$EE$2,BP$2-1,$D26:$EE26)/12)*(1+XLOOKUP(BP$2,Assumptions!$C$94:$M$94,Assumptions!$C$98:$M$98))))</f>
        <v>-12814.66477</v>
      </c>
      <c r="BQ26" s="54">
        <f t="array" ref="BQ26">-(IF(BQ$2=1,Assumptions!$P27/12,-(SUMIF($D$2:$EE$2,BQ$2-1,$D26:$EE26)/12)*(1+XLOOKUP(BQ$2,Assumptions!$C$94:$M$94,Assumptions!$C$98:$M$98))))</f>
        <v>-12814.66477</v>
      </c>
      <c r="BR26" s="54">
        <f t="array" ref="BR26">-(IF(BR$2=1,Assumptions!$P27/12,-(SUMIF($D$2:$EE$2,BR$2-1,$D26:$EE26)/12)*(1+XLOOKUP(BR$2,Assumptions!$C$94:$M$94,Assumptions!$C$98:$M$98))))</f>
        <v>-12814.66477</v>
      </c>
      <c r="BS26" s="54">
        <f t="array" ref="BS26">-(IF(BS$2=1,Assumptions!$P27/12,-(SUMIF($D$2:$EE$2,BS$2-1,$D26:$EE26)/12)*(1+XLOOKUP(BS$2,Assumptions!$C$94:$M$94,Assumptions!$C$98:$M$98))))</f>
        <v>-12814.66477</v>
      </c>
      <c r="BT26" s="54">
        <f t="array" ref="BT26">-(IF(BT$2=1,Assumptions!$P27/12,-(SUMIF($D$2:$EE$2,BT$2-1,$D26:$EE26)/12)*(1+XLOOKUP(BT$2,Assumptions!$C$94:$M$94,Assumptions!$C$98:$M$98))))</f>
        <v>-12814.66477</v>
      </c>
      <c r="BU26" s="54">
        <f t="array" ref="BU26">-(IF(BU$2=1,Assumptions!$P27/12,-(SUMIF($D$2:$EE$2,BU$2-1,$D26:$EE26)/12)*(1+XLOOKUP(BU$2,Assumptions!$C$94:$M$94,Assumptions!$C$98:$M$98))))</f>
        <v>-12814.66477</v>
      </c>
      <c r="BV26" s="54">
        <f t="array" ref="BV26">-(IF(BV$2=1,Assumptions!$P27/12,-(SUMIF($D$2:$EE$2,BV$2-1,$D26:$EE26)/12)*(1+XLOOKUP(BV$2,Assumptions!$C$94:$M$94,Assumptions!$C$98:$M$98))))</f>
        <v>-12814.66477</v>
      </c>
      <c r="BW26" s="54">
        <f t="array" ref="BW26">-(IF(BW$2=1,Assumptions!$P27/12,-(SUMIF($D$2:$EE$2,BW$2-1,$D26:$EE26)/12)*(1+XLOOKUP(BW$2,Assumptions!$C$94:$M$94,Assumptions!$C$98:$M$98))))</f>
        <v>-12814.66477</v>
      </c>
      <c r="BX26" s="54">
        <f t="array" ref="BX26">-(IF(BX$2=1,Assumptions!$P27/12,-(SUMIF($D$2:$EE$2,BX$2-1,$D26:$EE26)/12)*(1+XLOOKUP(BX$2,Assumptions!$C$94:$M$94,Assumptions!$C$98:$M$98))))</f>
        <v>-13199.10471</v>
      </c>
      <c r="BY26" s="54">
        <f t="array" ref="BY26">-(IF(BY$2=1,Assumptions!$P27/12,-(SUMIF($D$2:$EE$2,BY$2-1,$D26:$EE26)/12)*(1+XLOOKUP(BY$2,Assumptions!$C$94:$M$94,Assumptions!$C$98:$M$98))))</f>
        <v>-13199.10471</v>
      </c>
      <c r="BZ26" s="54">
        <f t="array" ref="BZ26">-(IF(BZ$2=1,Assumptions!$P27/12,-(SUMIF($D$2:$EE$2,BZ$2-1,$D26:$EE26)/12)*(1+XLOOKUP(BZ$2,Assumptions!$C$94:$M$94,Assumptions!$C$98:$M$98))))</f>
        <v>-13199.10471</v>
      </c>
      <c r="CA26" s="54">
        <f t="array" ref="CA26">-(IF(CA$2=1,Assumptions!$P27/12,-(SUMIF($D$2:$EE$2,CA$2-1,$D26:$EE26)/12)*(1+XLOOKUP(CA$2,Assumptions!$C$94:$M$94,Assumptions!$C$98:$M$98))))</f>
        <v>-13199.10471</v>
      </c>
      <c r="CB26" s="54">
        <f t="array" ref="CB26">-(IF(CB$2=1,Assumptions!$P27/12,-(SUMIF($D$2:$EE$2,CB$2-1,$D26:$EE26)/12)*(1+XLOOKUP(CB$2,Assumptions!$C$94:$M$94,Assumptions!$C$98:$M$98))))</f>
        <v>-13199.10471</v>
      </c>
      <c r="CC26" s="54">
        <f t="array" ref="CC26">-(IF(CC$2=1,Assumptions!$P27/12,-(SUMIF($D$2:$EE$2,CC$2-1,$D26:$EE26)/12)*(1+XLOOKUP(CC$2,Assumptions!$C$94:$M$94,Assumptions!$C$98:$M$98))))</f>
        <v>-13199.10471</v>
      </c>
      <c r="CD26" s="54">
        <f t="array" ref="CD26">-(IF(CD$2=1,Assumptions!$P27/12,-(SUMIF($D$2:$EE$2,CD$2-1,$D26:$EE26)/12)*(1+XLOOKUP(CD$2,Assumptions!$C$94:$M$94,Assumptions!$C$98:$M$98))))</f>
        <v>-13199.10471</v>
      </c>
      <c r="CE26" s="54">
        <f t="array" ref="CE26">-(IF(CE$2=1,Assumptions!$P27/12,-(SUMIF($D$2:$EE$2,CE$2-1,$D26:$EE26)/12)*(1+XLOOKUP(CE$2,Assumptions!$C$94:$M$94,Assumptions!$C$98:$M$98))))</f>
        <v>-13199.10471</v>
      </c>
      <c r="CF26" s="54">
        <f t="array" ref="CF26">-(IF(CF$2=1,Assumptions!$P27/12,-(SUMIF($D$2:$EE$2,CF$2-1,$D26:$EE26)/12)*(1+XLOOKUP(CF$2,Assumptions!$C$94:$M$94,Assumptions!$C$98:$M$98))))</f>
        <v>-13199.10471</v>
      </c>
      <c r="CG26" s="54">
        <f t="array" ref="CG26">-(IF(CG$2=1,Assumptions!$P27/12,-(SUMIF($D$2:$EE$2,CG$2-1,$D26:$EE26)/12)*(1+XLOOKUP(CG$2,Assumptions!$C$94:$M$94,Assumptions!$C$98:$M$98))))</f>
        <v>-13199.10471</v>
      </c>
      <c r="CH26" s="54">
        <f t="array" ref="CH26">-(IF(CH$2=1,Assumptions!$P27/12,-(SUMIF($D$2:$EE$2,CH$2-1,$D26:$EE26)/12)*(1+XLOOKUP(CH$2,Assumptions!$C$94:$M$94,Assumptions!$C$98:$M$98))))</f>
        <v>-13199.10471</v>
      </c>
      <c r="CI26" s="54">
        <f t="array" ref="CI26">-(IF(CI$2=1,Assumptions!$P27/12,-(SUMIF($D$2:$EE$2,CI$2-1,$D26:$EE26)/12)*(1+XLOOKUP(CI$2,Assumptions!$C$94:$M$94,Assumptions!$C$98:$M$98))))</f>
        <v>-13199.10471</v>
      </c>
      <c r="CJ26" s="54">
        <f t="array" ref="CJ26">-(IF(CJ$2=1,Assumptions!$P27/12,-(SUMIF($D$2:$EE$2,CJ$2-1,$D26:$EE26)/12)*(1+XLOOKUP(CJ$2,Assumptions!$C$94:$M$94,Assumptions!$C$98:$M$98))))</f>
        <v>-13595.07786</v>
      </c>
      <c r="CK26" s="54">
        <f t="array" ref="CK26">-(IF(CK$2=1,Assumptions!$P27/12,-(SUMIF($D$2:$EE$2,CK$2-1,$D26:$EE26)/12)*(1+XLOOKUP(CK$2,Assumptions!$C$94:$M$94,Assumptions!$C$98:$M$98))))</f>
        <v>-13595.07786</v>
      </c>
      <c r="CL26" s="54">
        <f t="array" ref="CL26">-(IF(CL$2=1,Assumptions!$P27/12,-(SUMIF($D$2:$EE$2,CL$2-1,$D26:$EE26)/12)*(1+XLOOKUP(CL$2,Assumptions!$C$94:$M$94,Assumptions!$C$98:$M$98))))</f>
        <v>-13595.07786</v>
      </c>
      <c r="CM26" s="54">
        <f t="array" ref="CM26">-(IF(CM$2=1,Assumptions!$P27/12,-(SUMIF($D$2:$EE$2,CM$2-1,$D26:$EE26)/12)*(1+XLOOKUP(CM$2,Assumptions!$C$94:$M$94,Assumptions!$C$98:$M$98))))</f>
        <v>-13595.07786</v>
      </c>
      <c r="CN26" s="54">
        <f t="array" ref="CN26">-(IF(CN$2=1,Assumptions!$P27/12,-(SUMIF($D$2:$EE$2,CN$2-1,$D26:$EE26)/12)*(1+XLOOKUP(CN$2,Assumptions!$C$94:$M$94,Assumptions!$C$98:$M$98))))</f>
        <v>-13595.07786</v>
      </c>
      <c r="CO26" s="54">
        <f t="array" ref="CO26">-(IF(CO$2=1,Assumptions!$P27/12,-(SUMIF($D$2:$EE$2,CO$2-1,$D26:$EE26)/12)*(1+XLOOKUP(CO$2,Assumptions!$C$94:$M$94,Assumptions!$C$98:$M$98))))</f>
        <v>-13595.07786</v>
      </c>
      <c r="CP26" s="54">
        <f t="array" ref="CP26">-(IF(CP$2=1,Assumptions!$P27/12,-(SUMIF($D$2:$EE$2,CP$2-1,$D26:$EE26)/12)*(1+XLOOKUP(CP$2,Assumptions!$C$94:$M$94,Assumptions!$C$98:$M$98))))</f>
        <v>-13595.07786</v>
      </c>
      <c r="CQ26" s="54">
        <f t="array" ref="CQ26">-(IF(CQ$2=1,Assumptions!$P27/12,-(SUMIF($D$2:$EE$2,CQ$2-1,$D26:$EE26)/12)*(1+XLOOKUP(CQ$2,Assumptions!$C$94:$M$94,Assumptions!$C$98:$M$98))))</f>
        <v>-13595.07786</v>
      </c>
      <c r="CR26" s="54">
        <f t="array" ref="CR26">-(IF(CR$2=1,Assumptions!$P27/12,-(SUMIF($D$2:$EE$2,CR$2-1,$D26:$EE26)/12)*(1+XLOOKUP(CR$2,Assumptions!$C$94:$M$94,Assumptions!$C$98:$M$98))))</f>
        <v>-13595.07786</v>
      </c>
      <c r="CS26" s="54">
        <f t="array" ref="CS26">-(IF(CS$2=1,Assumptions!$P27/12,-(SUMIF($D$2:$EE$2,CS$2-1,$D26:$EE26)/12)*(1+XLOOKUP(CS$2,Assumptions!$C$94:$M$94,Assumptions!$C$98:$M$98))))</f>
        <v>-13595.07786</v>
      </c>
      <c r="CT26" s="54">
        <f t="array" ref="CT26">-(IF(CT$2=1,Assumptions!$P27/12,-(SUMIF($D$2:$EE$2,CT$2-1,$D26:$EE26)/12)*(1+XLOOKUP(CT$2,Assumptions!$C$94:$M$94,Assumptions!$C$98:$M$98))))</f>
        <v>-13595.07786</v>
      </c>
      <c r="CU26" s="54">
        <f t="array" ref="CU26">-(IF(CU$2=1,Assumptions!$P27/12,-(SUMIF($D$2:$EE$2,CU$2-1,$D26:$EE26)/12)*(1+XLOOKUP(CU$2,Assumptions!$C$94:$M$94,Assumptions!$C$98:$M$98))))</f>
        <v>-13595.07786</v>
      </c>
      <c r="CV26" s="54">
        <f t="array" ref="CV26">-(IF(CV$2=1,Assumptions!$P27/12,-(SUMIF($D$2:$EE$2,CV$2-1,$D26:$EE26)/12)*(1+XLOOKUP(CV$2,Assumptions!$C$94:$M$94,Assumptions!$C$98:$M$98))))</f>
        <v>-14002.93019</v>
      </c>
      <c r="CW26" s="54">
        <f t="array" ref="CW26">-(IF(CW$2=1,Assumptions!$P27/12,-(SUMIF($D$2:$EE$2,CW$2-1,$D26:$EE26)/12)*(1+XLOOKUP(CW$2,Assumptions!$C$94:$M$94,Assumptions!$C$98:$M$98))))</f>
        <v>-14002.93019</v>
      </c>
      <c r="CX26" s="54">
        <f t="array" ref="CX26">-(IF(CX$2=1,Assumptions!$P27/12,-(SUMIF($D$2:$EE$2,CX$2-1,$D26:$EE26)/12)*(1+XLOOKUP(CX$2,Assumptions!$C$94:$M$94,Assumptions!$C$98:$M$98))))</f>
        <v>-14002.93019</v>
      </c>
      <c r="CY26" s="54">
        <f t="array" ref="CY26">-(IF(CY$2=1,Assumptions!$P27/12,-(SUMIF($D$2:$EE$2,CY$2-1,$D26:$EE26)/12)*(1+XLOOKUP(CY$2,Assumptions!$C$94:$M$94,Assumptions!$C$98:$M$98))))</f>
        <v>-14002.93019</v>
      </c>
      <c r="CZ26" s="54">
        <f t="array" ref="CZ26">-(IF(CZ$2=1,Assumptions!$P27/12,-(SUMIF($D$2:$EE$2,CZ$2-1,$D26:$EE26)/12)*(1+XLOOKUP(CZ$2,Assumptions!$C$94:$M$94,Assumptions!$C$98:$M$98))))</f>
        <v>-14002.93019</v>
      </c>
      <c r="DA26" s="54">
        <f t="array" ref="DA26">-(IF(DA$2=1,Assumptions!$P27/12,-(SUMIF($D$2:$EE$2,DA$2-1,$D26:$EE26)/12)*(1+XLOOKUP(DA$2,Assumptions!$C$94:$M$94,Assumptions!$C$98:$M$98))))</f>
        <v>-14002.93019</v>
      </c>
      <c r="DB26" s="54">
        <f t="array" ref="DB26">-(IF(DB$2=1,Assumptions!$P27/12,-(SUMIF($D$2:$EE$2,DB$2-1,$D26:$EE26)/12)*(1+XLOOKUP(DB$2,Assumptions!$C$94:$M$94,Assumptions!$C$98:$M$98))))</f>
        <v>-14002.93019</v>
      </c>
      <c r="DC26" s="54">
        <f t="array" ref="DC26">-(IF(DC$2=1,Assumptions!$P27/12,-(SUMIF($D$2:$EE$2,DC$2-1,$D26:$EE26)/12)*(1+XLOOKUP(DC$2,Assumptions!$C$94:$M$94,Assumptions!$C$98:$M$98))))</f>
        <v>-14002.93019</v>
      </c>
      <c r="DD26" s="54">
        <f t="array" ref="DD26">-(IF(DD$2=1,Assumptions!$P27/12,-(SUMIF($D$2:$EE$2,DD$2-1,$D26:$EE26)/12)*(1+XLOOKUP(DD$2,Assumptions!$C$94:$M$94,Assumptions!$C$98:$M$98))))</f>
        <v>-14002.93019</v>
      </c>
      <c r="DE26" s="54">
        <f t="array" ref="DE26">-(IF(DE$2=1,Assumptions!$P27/12,-(SUMIF($D$2:$EE$2,DE$2-1,$D26:$EE26)/12)*(1+XLOOKUP(DE$2,Assumptions!$C$94:$M$94,Assumptions!$C$98:$M$98))))</f>
        <v>-14002.93019</v>
      </c>
      <c r="DF26" s="54">
        <f t="array" ref="DF26">-(IF(DF$2=1,Assumptions!$P27/12,-(SUMIF($D$2:$EE$2,DF$2-1,$D26:$EE26)/12)*(1+XLOOKUP(DF$2,Assumptions!$C$94:$M$94,Assumptions!$C$98:$M$98))))</f>
        <v>-14002.93019</v>
      </c>
      <c r="DG26" s="54">
        <f t="array" ref="DG26">-(IF(DG$2=1,Assumptions!$P27/12,-(SUMIF($D$2:$EE$2,DG$2-1,$D26:$EE26)/12)*(1+XLOOKUP(DG$2,Assumptions!$C$94:$M$94,Assumptions!$C$98:$M$98))))</f>
        <v>-14002.93019</v>
      </c>
      <c r="DH26" s="54">
        <f t="array" ref="DH26">-(IF(DH$2=1,Assumptions!$P27/12,-(SUMIF($D$2:$EE$2,DH$2-1,$D26:$EE26)/12)*(1+XLOOKUP(DH$2,Assumptions!$C$94:$M$94,Assumptions!$C$98:$M$98))))</f>
        <v>-14423.0181</v>
      </c>
      <c r="DI26" s="54">
        <f t="array" ref="DI26">-(IF(DI$2=1,Assumptions!$P27/12,-(SUMIF($D$2:$EE$2,DI$2-1,$D26:$EE26)/12)*(1+XLOOKUP(DI$2,Assumptions!$C$94:$M$94,Assumptions!$C$98:$M$98))))</f>
        <v>-14423.0181</v>
      </c>
      <c r="DJ26" s="54">
        <f t="array" ref="DJ26">-(IF(DJ$2=1,Assumptions!$P27/12,-(SUMIF($D$2:$EE$2,DJ$2-1,$D26:$EE26)/12)*(1+XLOOKUP(DJ$2,Assumptions!$C$94:$M$94,Assumptions!$C$98:$M$98))))</f>
        <v>-14423.0181</v>
      </c>
      <c r="DK26" s="54">
        <f t="array" ref="DK26">-(IF(DK$2=1,Assumptions!$P27/12,-(SUMIF($D$2:$EE$2,DK$2-1,$D26:$EE26)/12)*(1+XLOOKUP(DK$2,Assumptions!$C$94:$M$94,Assumptions!$C$98:$M$98))))</f>
        <v>-14423.0181</v>
      </c>
      <c r="DL26" s="54">
        <f t="array" ref="DL26">-(IF(DL$2=1,Assumptions!$P27/12,-(SUMIF($D$2:$EE$2,DL$2-1,$D26:$EE26)/12)*(1+XLOOKUP(DL$2,Assumptions!$C$94:$M$94,Assumptions!$C$98:$M$98))))</f>
        <v>-14423.0181</v>
      </c>
      <c r="DM26" s="54">
        <f t="array" ref="DM26">-(IF(DM$2=1,Assumptions!$P27/12,-(SUMIF($D$2:$EE$2,DM$2-1,$D26:$EE26)/12)*(1+XLOOKUP(DM$2,Assumptions!$C$94:$M$94,Assumptions!$C$98:$M$98))))</f>
        <v>-14423.0181</v>
      </c>
      <c r="DN26" s="54">
        <f t="array" ref="DN26">-(IF(DN$2=1,Assumptions!$P27/12,-(SUMIF($D$2:$EE$2,DN$2-1,$D26:$EE26)/12)*(1+XLOOKUP(DN$2,Assumptions!$C$94:$M$94,Assumptions!$C$98:$M$98))))</f>
        <v>-14423.0181</v>
      </c>
      <c r="DO26" s="54">
        <f t="array" ref="DO26">-(IF(DO$2=1,Assumptions!$P27/12,-(SUMIF($D$2:$EE$2,DO$2-1,$D26:$EE26)/12)*(1+XLOOKUP(DO$2,Assumptions!$C$94:$M$94,Assumptions!$C$98:$M$98))))</f>
        <v>-14423.0181</v>
      </c>
      <c r="DP26" s="54">
        <f t="array" ref="DP26">-(IF(DP$2=1,Assumptions!$P27/12,-(SUMIF($D$2:$EE$2,DP$2-1,$D26:$EE26)/12)*(1+XLOOKUP(DP$2,Assumptions!$C$94:$M$94,Assumptions!$C$98:$M$98))))</f>
        <v>-14423.0181</v>
      </c>
      <c r="DQ26" s="54">
        <f t="array" ref="DQ26">-(IF(DQ$2=1,Assumptions!$P27/12,-(SUMIF($D$2:$EE$2,DQ$2-1,$D26:$EE26)/12)*(1+XLOOKUP(DQ$2,Assumptions!$C$94:$M$94,Assumptions!$C$98:$M$98))))</f>
        <v>-14423.0181</v>
      </c>
      <c r="DR26" s="54">
        <f t="array" ref="DR26">-(IF(DR$2=1,Assumptions!$P27/12,-(SUMIF($D$2:$EE$2,DR$2-1,$D26:$EE26)/12)*(1+XLOOKUP(DR$2,Assumptions!$C$94:$M$94,Assumptions!$C$98:$M$98))))</f>
        <v>-14423.0181</v>
      </c>
      <c r="DS26" s="54">
        <f t="array" ref="DS26">-(IF(DS$2=1,Assumptions!$P27/12,-(SUMIF($D$2:$EE$2,DS$2-1,$D26:$EE26)/12)*(1+XLOOKUP(DS$2,Assumptions!$C$94:$M$94,Assumptions!$C$98:$M$98))))</f>
        <v>-14423.0181</v>
      </c>
      <c r="DT26" s="54">
        <f t="array" ref="DT26">-(IF(DT$2=1,Assumptions!$P27/12,-(SUMIF($D$2:$EE$2,DT$2-1,$D26:$EE26)/12)*(1+XLOOKUP(DT$2,Assumptions!$C$94:$M$94,Assumptions!$C$98:$M$98))))</f>
        <v>-14855.70864</v>
      </c>
      <c r="DU26" s="54">
        <f t="array" ref="DU26">-(IF(DU$2=1,Assumptions!$P27/12,-(SUMIF($D$2:$EE$2,DU$2-1,$D26:$EE26)/12)*(1+XLOOKUP(DU$2,Assumptions!$C$94:$M$94,Assumptions!$C$98:$M$98))))</f>
        <v>-14855.70864</v>
      </c>
      <c r="DV26" s="54">
        <f t="array" ref="DV26">-(IF(DV$2=1,Assumptions!$P27/12,-(SUMIF($D$2:$EE$2,DV$2-1,$D26:$EE26)/12)*(1+XLOOKUP(DV$2,Assumptions!$C$94:$M$94,Assumptions!$C$98:$M$98))))</f>
        <v>-14855.70864</v>
      </c>
      <c r="DW26" s="54">
        <f t="array" ref="DW26">-(IF(DW$2=1,Assumptions!$P27/12,-(SUMIF($D$2:$EE$2,DW$2-1,$D26:$EE26)/12)*(1+XLOOKUP(DW$2,Assumptions!$C$94:$M$94,Assumptions!$C$98:$M$98))))</f>
        <v>-14855.70864</v>
      </c>
      <c r="DX26" s="54">
        <f t="array" ref="DX26">-(IF(DX$2=1,Assumptions!$P27/12,-(SUMIF($D$2:$EE$2,DX$2-1,$D26:$EE26)/12)*(1+XLOOKUP(DX$2,Assumptions!$C$94:$M$94,Assumptions!$C$98:$M$98))))</f>
        <v>-14855.70864</v>
      </c>
      <c r="DY26" s="54">
        <f t="array" ref="DY26">-(IF(DY$2=1,Assumptions!$P27/12,-(SUMIF($D$2:$EE$2,DY$2-1,$D26:$EE26)/12)*(1+XLOOKUP(DY$2,Assumptions!$C$94:$M$94,Assumptions!$C$98:$M$98))))</f>
        <v>-14855.70864</v>
      </c>
      <c r="DZ26" s="54">
        <f t="array" ref="DZ26">-(IF(DZ$2=1,Assumptions!$P27/12,-(SUMIF($D$2:$EE$2,DZ$2-1,$D26:$EE26)/12)*(1+XLOOKUP(DZ$2,Assumptions!$C$94:$M$94,Assumptions!$C$98:$M$98))))</f>
        <v>-14855.70864</v>
      </c>
      <c r="EA26" s="54">
        <f t="array" ref="EA26">-(IF(EA$2=1,Assumptions!$P27/12,-(SUMIF($D$2:$EE$2,EA$2-1,$D26:$EE26)/12)*(1+XLOOKUP(EA$2,Assumptions!$C$94:$M$94,Assumptions!$C$98:$M$98))))</f>
        <v>-14855.70864</v>
      </c>
      <c r="EB26" s="54">
        <f t="array" ref="EB26">-(IF(EB$2=1,Assumptions!$P27/12,-(SUMIF($D$2:$EE$2,EB$2-1,$D26:$EE26)/12)*(1+XLOOKUP(EB$2,Assumptions!$C$94:$M$94,Assumptions!$C$98:$M$98))))</f>
        <v>-14855.70864</v>
      </c>
      <c r="EC26" s="54">
        <f t="array" ref="EC26">-(IF(EC$2=1,Assumptions!$P27/12,-(SUMIF($D$2:$EE$2,EC$2-1,$D26:$EE26)/12)*(1+XLOOKUP(EC$2,Assumptions!$C$94:$M$94,Assumptions!$C$98:$M$98))))</f>
        <v>-14855.70864</v>
      </c>
      <c r="ED26" s="54">
        <f t="array" ref="ED26">-(IF(ED$2=1,Assumptions!$P27/12,-(SUMIF($D$2:$EE$2,ED$2-1,$D26:$EE26)/12)*(1+XLOOKUP(ED$2,Assumptions!$C$94:$M$94,Assumptions!$C$98:$M$98))))</f>
        <v>-14855.70864</v>
      </c>
      <c r="EE26" s="54">
        <f t="array" ref="EE26">-(IF(EE$2=1,Assumptions!$P27/12,-(SUMIF($D$2:$EE$2,EE$2-1,$D26:$EE26)/12)*(1+XLOOKUP(EE$2,Assumptions!$C$94:$M$94,Assumptions!$C$98:$M$98))))</f>
        <v>-14855.70864</v>
      </c>
    </row>
    <row r="27" ht="15.75" customHeight="1">
      <c r="A27" s="1"/>
      <c r="B27" s="1"/>
      <c r="C27" s="1" t="str">
        <f>Assumptions!J28</f>
        <v>Other Utilities</v>
      </c>
      <c r="D27" s="54">
        <f t="array" ref="D27">-(IF(D$2=1,Assumptions!$P28/12,-(SUMIF($D$2:$EE$2,D$2-1,$D27:$EE27)/12)*(1+XLOOKUP(D$2,Assumptions!$C$94:$M$94,Assumptions!$C$98:$M$98))))</f>
        <v>-7536.712567</v>
      </c>
      <c r="E27" s="54">
        <f t="array" ref="E27">-(IF(E$2=1,Assumptions!$P28/12,-(SUMIF($D$2:$EE$2,E$2-1,$D27:$EE27)/12)*(1+XLOOKUP(E$2,Assumptions!$C$94:$M$94,Assumptions!$C$98:$M$98))))</f>
        <v>-7536.712567</v>
      </c>
      <c r="F27" s="54">
        <f t="array" ref="F27">-(IF(F$2=1,Assumptions!$P28/12,-(SUMIF($D$2:$EE$2,F$2-1,$D27:$EE27)/12)*(1+XLOOKUP(F$2,Assumptions!$C$94:$M$94,Assumptions!$C$98:$M$98))))</f>
        <v>-7536.712567</v>
      </c>
      <c r="G27" s="54">
        <f t="array" ref="G27">-(IF(G$2=1,Assumptions!$P28/12,-(SUMIF($D$2:$EE$2,G$2-1,$D27:$EE27)/12)*(1+XLOOKUP(G$2,Assumptions!$C$94:$M$94,Assumptions!$C$98:$M$98))))</f>
        <v>-7536.712567</v>
      </c>
      <c r="H27" s="54">
        <f t="array" ref="H27">-(IF(H$2=1,Assumptions!$P28/12,-(SUMIF($D$2:$EE$2,H$2-1,$D27:$EE27)/12)*(1+XLOOKUP(H$2,Assumptions!$C$94:$M$94,Assumptions!$C$98:$M$98))))</f>
        <v>-7536.712567</v>
      </c>
      <c r="I27" s="54">
        <f t="array" ref="I27">-(IF(I$2=1,Assumptions!$P28/12,-(SUMIF($D$2:$EE$2,I$2-1,$D27:$EE27)/12)*(1+XLOOKUP(I$2,Assumptions!$C$94:$M$94,Assumptions!$C$98:$M$98))))</f>
        <v>-7536.712567</v>
      </c>
      <c r="J27" s="54">
        <f t="array" ref="J27">-(IF(J$2=1,Assumptions!$P28/12,-(SUMIF($D$2:$EE$2,J$2-1,$D27:$EE27)/12)*(1+XLOOKUP(J$2,Assumptions!$C$94:$M$94,Assumptions!$C$98:$M$98))))</f>
        <v>-7536.712567</v>
      </c>
      <c r="K27" s="54">
        <f t="array" ref="K27">-(IF(K$2=1,Assumptions!$P28/12,-(SUMIF($D$2:$EE$2,K$2-1,$D27:$EE27)/12)*(1+XLOOKUP(K$2,Assumptions!$C$94:$M$94,Assumptions!$C$98:$M$98))))</f>
        <v>-7536.712567</v>
      </c>
      <c r="L27" s="54">
        <f t="array" ref="L27">-(IF(L$2=1,Assumptions!$P28/12,-(SUMIF($D$2:$EE$2,L$2-1,$D27:$EE27)/12)*(1+XLOOKUP(L$2,Assumptions!$C$94:$M$94,Assumptions!$C$98:$M$98))))</f>
        <v>-7536.712567</v>
      </c>
      <c r="M27" s="54">
        <f t="array" ref="M27">-(IF(M$2=1,Assumptions!$P28/12,-(SUMIF($D$2:$EE$2,M$2-1,$D27:$EE27)/12)*(1+XLOOKUP(M$2,Assumptions!$C$94:$M$94,Assumptions!$C$98:$M$98))))</f>
        <v>-7536.712567</v>
      </c>
      <c r="N27" s="54">
        <f t="array" ref="N27">-(IF(N$2=1,Assumptions!$P28/12,-(SUMIF($D$2:$EE$2,N$2-1,$D27:$EE27)/12)*(1+XLOOKUP(N$2,Assumptions!$C$94:$M$94,Assumptions!$C$98:$M$98))))</f>
        <v>-7536.712567</v>
      </c>
      <c r="O27" s="54">
        <f t="array" ref="O27">-(IF(O$2=1,Assumptions!$P28/12,-(SUMIF($D$2:$EE$2,O$2-1,$D27:$EE27)/12)*(1+XLOOKUP(O$2,Assumptions!$C$94:$M$94,Assumptions!$C$98:$M$98))))</f>
        <v>-7536.712567</v>
      </c>
      <c r="P27" s="54">
        <f t="array" ref="P27">-(IF(P$2=1,Assumptions!$P28/12,-(SUMIF($D$2:$EE$2,P$2-1,$D27:$EE27)/12)*(1+XLOOKUP(P$2,Assumptions!$C$94:$M$94,Assumptions!$C$98:$M$98))))</f>
        <v>-7762.813944</v>
      </c>
      <c r="Q27" s="54">
        <f t="array" ref="Q27">-(IF(Q$2=1,Assumptions!$P28/12,-(SUMIF($D$2:$EE$2,Q$2-1,$D27:$EE27)/12)*(1+XLOOKUP(Q$2,Assumptions!$C$94:$M$94,Assumptions!$C$98:$M$98))))</f>
        <v>-7762.813944</v>
      </c>
      <c r="R27" s="54">
        <f t="array" ref="R27">-(IF(R$2=1,Assumptions!$P28/12,-(SUMIF($D$2:$EE$2,R$2-1,$D27:$EE27)/12)*(1+XLOOKUP(R$2,Assumptions!$C$94:$M$94,Assumptions!$C$98:$M$98))))</f>
        <v>-7762.813944</v>
      </c>
      <c r="S27" s="54">
        <f t="array" ref="S27">-(IF(S$2=1,Assumptions!$P28/12,-(SUMIF($D$2:$EE$2,S$2-1,$D27:$EE27)/12)*(1+XLOOKUP(S$2,Assumptions!$C$94:$M$94,Assumptions!$C$98:$M$98))))</f>
        <v>-7762.813944</v>
      </c>
      <c r="T27" s="54">
        <f t="array" ref="T27">-(IF(T$2=1,Assumptions!$P28/12,-(SUMIF($D$2:$EE$2,T$2-1,$D27:$EE27)/12)*(1+XLOOKUP(T$2,Assumptions!$C$94:$M$94,Assumptions!$C$98:$M$98))))</f>
        <v>-7762.813944</v>
      </c>
      <c r="U27" s="54">
        <f t="array" ref="U27">-(IF(U$2=1,Assumptions!$P28/12,-(SUMIF($D$2:$EE$2,U$2-1,$D27:$EE27)/12)*(1+XLOOKUP(U$2,Assumptions!$C$94:$M$94,Assumptions!$C$98:$M$98))))</f>
        <v>-7762.813944</v>
      </c>
      <c r="V27" s="54">
        <f t="array" ref="V27">-(IF(V$2=1,Assumptions!$P28/12,-(SUMIF($D$2:$EE$2,V$2-1,$D27:$EE27)/12)*(1+XLOOKUP(V$2,Assumptions!$C$94:$M$94,Assumptions!$C$98:$M$98))))</f>
        <v>-7762.813944</v>
      </c>
      <c r="W27" s="54">
        <f t="array" ref="W27">-(IF(W$2=1,Assumptions!$P28/12,-(SUMIF($D$2:$EE$2,W$2-1,$D27:$EE27)/12)*(1+XLOOKUP(W$2,Assumptions!$C$94:$M$94,Assumptions!$C$98:$M$98))))</f>
        <v>-7762.813944</v>
      </c>
      <c r="X27" s="54">
        <f t="array" ref="X27">-(IF(X$2=1,Assumptions!$P28/12,-(SUMIF($D$2:$EE$2,X$2-1,$D27:$EE27)/12)*(1+XLOOKUP(X$2,Assumptions!$C$94:$M$94,Assumptions!$C$98:$M$98))))</f>
        <v>-7762.813944</v>
      </c>
      <c r="Y27" s="54">
        <f t="array" ref="Y27">-(IF(Y$2=1,Assumptions!$P28/12,-(SUMIF($D$2:$EE$2,Y$2-1,$D27:$EE27)/12)*(1+XLOOKUP(Y$2,Assumptions!$C$94:$M$94,Assumptions!$C$98:$M$98))))</f>
        <v>-7762.813944</v>
      </c>
      <c r="Z27" s="54">
        <f t="array" ref="Z27">-(IF(Z$2=1,Assumptions!$P28/12,-(SUMIF($D$2:$EE$2,Z$2-1,$D27:$EE27)/12)*(1+XLOOKUP(Z$2,Assumptions!$C$94:$M$94,Assumptions!$C$98:$M$98))))</f>
        <v>-7762.813944</v>
      </c>
      <c r="AA27" s="54">
        <f t="array" ref="AA27">-(IF(AA$2=1,Assumptions!$P28/12,-(SUMIF($D$2:$EE$2,AA$2-1,$D27:$EE27)/12)*(1+XLOOKUP(AA$2,Assumptions!$C$94:$M$94,Assumptions!$C$98:$M$98))))</f>
        <v>-7762.813944</v>
      </c>
      <c r="AB27" s="54">
        <f t="array" ref="AB27">-(IF(AB$2=1,Assumptions!$P28/12,-(SUMIF($D$2:$EE$2,AB$2-1,$D27:$EE27)/12)*(1+XLOOKUP(AB$2,Assumptions!$C$94:$M$94,Assumptions!$C$98:$M$98))))</f>
        <v>-7995.698362</v>
      </c>
      <c r="AC27" s="54">
        <f t="array" ref="AC27">-(IF(AC$2=1,Assumptions!$P28/12,-(SUMIF($D$2:$EE$2,AC$2-1,$D27:$EE27)/12)*(1+XLOOKUP(AC$2,Assumptions!$C$94:$M$94,Assumptions!$C$98:$M$98))))</f>
        <v>-7995.698362</v>
      </c>
      <c r="AD27" s="54">
        <f t="array" ref="AD27">-(IF(AD$2=1,Assumptions!$P28/12,-(SUMIF($D$2:$EE$2,AD$2-1,$D27:$EE27)/12)*(1+XLOOKUP(AD$2,Assumptions!$C$94:$M$94,Assumptions!$C$98:$M$98))))</f>
        <v>-7995.698362</v>
      </c>
      <c r="AE27" s="54">
        <f t="array" ref="AE27">-(IF(AE$2=1,Assumptions!$P28/12,-(SUMIF($D$2:$EE$2,AE$2-1,$D27:$EE27)/12)*(1+XLOOKUP(AE$2,Assumptions!$C$94:$M$94,Assumptions!$C$98:$M$98))))</f>
        <v>-7995.698362</v>
      </c>
      <c r="AF27" s="54">
        <f t="array" ref="AF27">-(IF(AF$2=1,Assumptions!$P28/12,-(SUMIF($D$2:$EE$2,AF$2-1,$D27:$EE27)/12)*(1+XLOOKUP(AF$2,Assumptions!$C$94:$M$94,Assumptions!$C$98:$M$98))))</f>
        <v>-7995.698362</v>
      </c>
      <c r="AG27" s="54">
        <f t="array" ref="AG27">-(IF(AG$2=1,Assumptions!$P28/12,-(SUMIF($D$2:$EE$2,AG$2-1,$D27:$EE27)/12)*(1+XLOOKUP(AG$2,Assumptions!$C$94:$M$94,Assumptions!$C$98:$M$98))))</f>
        <v>-7995.698362</v>
      </c>
      <c r="AH27" s="54">
        <f t="array" ref="AH27">-(IF(AH$2=1,Assumptions!$P28/12,-(SUMIF($D$2:$EE$2,AH$2-1,$D27:$EE27)/12)*(1+XLOOKUP(AH$2,Assumptions!$C$94:$M$94,Assumptions!$C$98:$M$98))))</f>
        <v>-7995.698362</v>
      </c>
      <c r="AI27" s="54">
        <f t="array" ref="AI27">-(IF(AI$2=1,Assumptions!$P28/12,-(SUMIF($D$2:$EE$2,AI$2-1,$D27:$EE27)/12)*(1+XLOOKUP(AI$2,Assumptions!$C$94:$M$94,Assumptions!$C$98:$M$98))))</f>
        <v>-7995.698362</v>
      </c>
      <c r="AJ27" s="54">
        <f t="array" ref="AJ27">-(IF(AJ$2=1,Assumptions!$P28/12,-(SUMIF($D$2:$EE$2,AJ$2-1,$D27:$EE27)/12)*(1+XLOOKUP(AJ$2,Assumptions!$C$94:$M$94,Assumptions!$C$98:$M$98))))</f>
        <v>-7995.698362</v>
      </c>
      <c r="AK27" s="54">
        <f t="array" ref="AK27">-(IF(AK$2=1,Assumptions!$P28/12,-(SUMIF($D$2:$EE$2,AK$2-1,$D27:$EE27)/12)*(1+XLOOKUP(AK$2,Assumptions!$C$94:$M$94,Assumptions!$C$98:$M$98))))</f>
        <v>-7995.698362</v>
      </c>
      <c r="AL27" s="54">
        <f t="array" ref="AL27">-(IF(AL$2=1,Assumptions!$P28/12,-(SUMIF($D$2:$EE$2,AL$2-1,$D27:$EE27)/12)*(1+XLOOKUP(AL$2,Assumptions!$C$94:$M$94,Assumptions!$C$98:$M$98))))</f>
        <v>-7995.698362</v>
      </c>
      <c r="AM27" s="54">
        <f t="array" ref="AM27">-(IF(AM$2=1,Assumptions!$P28/12,-(SUMIF($D$2:$EE$2,AM$2-1,$D27:$EE27)/12)*(1+XLOOKUP(AM$2,Assumptions!$C$94:$M$94,Assumptions!$C$98:$M$98))))</f>
        <v>-7995.698362</v>
      </c>
      <c r="AN27" s="54">
        <f t="array" ref="AN27">-(IF(AN$2=1,Assumptions!$P28/12,-(SUMIF($D$2:$EE$2,AN$2-1,$D27:$EE27)/12)*(1+XLOOKUP(AN$2,Assumptions!$C$94:$M$94,Assumptions!$C$98:$M$98))))</f>
        <v>-8235.569313</v>
      </c>
      <c r="AO27" s="54">
        <f t="array" ref="AO27">-(IF(AO$2=1,Assumptions!$P28/12,-(SUMIF($D$2:$EE$2,AO$2-1,$D27:$EE27)/12)*(1+XLOOKUP(AO$2,Assumptions!$C$94:$M$94,Assumptions!$C$98:$M$98))))</f>
        <v>-8235.569313</v>
      </c>
      <c r="AP27" s="54">
        <f t="array" ref="AP27">-(IF(AP$2=1,Assumptions!$P28/12,-(SUMIF($D$2:$EE$2,AP$2-1,$D27:$EE27)/12)*(1+XLOOKUP(AP$2,Assumptions!$C$94:$M$94,Assumptions!$C$98:$M$98))))</f>
        <v>-8235.569313</v>
      </c>
      <c r="AQ27" s="54">
        <f t="array" ref="AQ27">-(IF(AQ$2=1,Assumptions!$P28/12,-(SUMIF($D$2:$EE$2,AQ$2-1,$D27:$EE27)/12)*(1+XLOOKUP(AQ$2,Assumptions!$C$94:$M$94,Assumptions!$C$98:$M$98))))</f>
        <v>-8235.569313</v>
      </c>
      <c r="AR27" s="54">
        <f t="array" ref="AR27">-(IF(AR$2=1,Assumptions!$P28/12,-(SUMIF($D$2:$EE$2,AR$2-1,$D27:$EE27)/12)*(1+XLOOKUP(AR$2,Assumptions!$C$94:$M$94,Assumptions!$C$98:$M$98))))</f>
        <v>-8235.569313</v>
      </c>
      <c r="AS27" s="54">
        <f t="array" ref="AS27">-(IF(AS$2=1,Assumptions!$P28/12,-(SUMIF($D$2:$EE$2,AS$2-1,$D27:$EE27)/12)*(1+XLOOKUP(AS$2,Assumptions!$C$94:$M$94,Assumptions!$C$98:$M$98))))</f>
        <v>-8235.569313</v>
      </c>
      <c r="AT27" s="54">
        <f t="array" ref="AT27">-(IF(AT$2=1,Assumptions!$P28/12,-(SUMIF($D$2:$EE$2,AT$2-1,$D27:$EE27)/12)*(1+XLOOKUP(AT$2,Assumptions!$C$94:$M$94,Assumptions!$C$98:$M$98))))</f>
        <v>-8235.569313</v>
      </c>
      <c r="AU27" s="54">
        <f t="array" ref="AU27">-(IF(AU$2=1,Assumptions!$P28/12,-(SUMIF($D$2:$EE$2,AU$2-1,$D27:$EE27)/12)*(1+XLOOKUP(AU$2,Assumptions!$C$94:$M$94,Assumptions!$C$98:$M$98))))</f>
        <v>-8235.569313</v>
      </c>
      <c r="AV27" s="54">
        <f t="array" ref="AV27">-(IF(AV$2=1,Assumptions!$P28/12,-(SUMIF($D$2:$EE$2,AV$2-1,$D27:$EE27)/12)*(1+XLOOKUP(AV$2,Assumptions!$C$94:$M$94,Assumptions!$C$98:$M$98))))</f>
        <v>-8235.569313</v>
      </c>
      <c r="AW27" s="54">
        <f t="array" ref="AW27">-(IF(AW$2=1,Assumptions!$P28/12,-(SUMIF($D$2:$EE$2,AW$2-1,$D27:$EE27)/12)*(1+XLOOKUP(AW$2,Assumptions!$C$94:$M$94,Assumptions!$C$98:$M$98))))</f>
        <v>-8235.569313</v>
      </c>
      <c r="AX27" s="54">
        <f t="array" ref="AX27">-(IF(AX$2=1,Assumptions!$P28/12,-(SUMIF($D$2:$EE$2,AX$2-1,$D27:$EE27)/12)*(1+XLOOKUP(AX$2,Assumptions!$C$94:$M$94,Assumptions!$C$98:$M$98))))</f>
        <v>-8235.569313</v>
      </c>
      <c r="AY27" s="54">
        <f t="array" ref="AY27">-(IF(AY$2=1,Assumptions!$P28/12,-(SUMIF($D$2:$EE$2,AY$2-1,$D27:$EE27)/12)*(1+XLOOKUP(AY$2,Assumptions!$C$94:$M$94,Assumptions!$C$98:$M$98))))</f>
        <v>-8235.569313</v>
      </c>
      <c r="AZ27" s="54">
        <f t="array" ref="AZ27">-(IF(AZ$2=1,Assumptions!$P28/12,-(SUMIF($D$2:$EE$2,AZ$2-1,$D27:$EE27)/12)*(1+XLOOKUP(AZ$2,Assumptions!$C$94:$M$94,Assumptions!$C$98:$M$98))))</f>
        <v>-8482.636392</v>
      </c>
      <c r="BA27" s="54">
        <f t="array" ref="BA27">-(IF(BA$2=1,Assumptions!$P28/12,-(SUMIF($D$2:$EE$2,BA$2-1,$D27:$EE27)/12)*(1+XLOOKUP(BA$2,Assumptions!$C$94:$M$94,Assumptions!$C$98:$M$98))))</f>
        <v>-8482.636392</v>
      </c>
      <c r="BB27" s="54">
        <f t="array" ref="BB27">-(IF(BB$2=1,Assumptions!$P28/12,-(SUMIF($D$2:$EE$2,BB$2-1,$D27:$EE27)/12)*(1+XLOOKUP(BB$2,Assumptions!$C$94:$M$94,Assumptions!$C$98:$M$98))))</f>
        <v>-8482.636392</v>
      </c>
      <c r="BC27" s="54">
        <f t="array" ref="BC27">-(IF(BC$2=1,Assumptions!$P28/12,-(SUMIF($D$2:$EE$2,BC$2-1,$D27:$EE27)/12)*(1+XLOOKUP(BC$2,Assumptions!$C$94:$M$94,Assumptions!$C$98:$M$98))))</f>
        <v>-8482.636392</v>
      </c>
      <c r="BD27" s="54">
        <f t="array" ref="BD27">-(IF(BD$2=1,Assumptions!$P28/12,-(SUMIF($D$2:$EE$2,BD$2-1,$D27:$EE27)/12)*(1+XLOOKUP(BD$2,Assumptions!$C$94:$M$94,Assumptions!$C$98:$M$98))))</f>
        <v>-8482.636392</v>
      </c>
      <c r="BE27" s="54">
        <f t="array" ref="BE27">-(IF(BE$2=1,Assumptions!$P28/12,-(SUMIF($D$2:$EE$2,BE$2-1,$D27:$EE27)/12)*(1+XLOOKUP(BE$2,Assumptions!$C$94:$M$94,Assumptions!$C$98:$M$98))))</f>
        <v>-8482.636392</v>
      </c>
      <c r="BF27" s="54">
        <f t="array" ref="BF27">-(IF(BF$2=1,Assumptions!$P28/12,-(SUMIF($D$2:$EE$2,BF$2-1,$D27:$EE27)/12)*(1+XLOOKUP(BF$2,Assumptions!$C$94:$M$94,Assumptions!$C$98:$M$98))))</f>
        <v>-8482.636392</v>
      </c>
      <c r="BG27" s="54">
        <f t="array" ref="BG27">-(IF(BG$2=1,Assumptions!$P28/12,-(SUMIF($D$2:$EE$2,BG$2-1,$D27:$EE27)/12)*(1+XLOOKUP(BG$2,Assumptions!$C$94:$M$94,Assumptions!$C$98:$M$98))))</f>
        <v>-8482.636392</v>
      </c>
      <c r="BH27" s="54">
        <f t="array" ref="BH27">-(IF(BH$2=1,Assumptions!$P28/12,-(SUMIF($D$2:$EE$2,BH$2-1,$D27:$EE27)/12)*(1+XLOOKUP(BH$2,Assumptions!$C$94:$M$94,Assumptions!$C$98:$M$98))))</f>
        <v>-8482.636392</v>
      </c>
      <c r="BI27" s="54">
        <f t="array" ref="BI27">-(IF(BI$2=1,Assumptions!$P28/12,-(SUMIF($D$2:$EE$2,BI$2-1,$D27:$EE27)/12)*(1+XLOOKUP(BI$2,Assumptions!$C$94:$M$94,Assumptions!$C$98:$M$98))))</f>
        <v>-8482.636392</v>
      </c>
      <c r="BJ27" s="54">
        <f t="array" ref="BJ27">-(IF(BJ$2=1,Assumptions!$P28/12,-(SUMIF($D$2:$EE$2,BJ$2-1,$D27:$EE27)/12)*(1+XLOOKUP(BJ$2,Assumptions!$C$94:$M$94,Assumptions!$C$98:$M$98))))</f>
        <v>-8482.636392</v>
      </c>
      <c r="BK27" s="54">
        <f t="array" ref="BK27">-(IF(BK$2=1,Assumptions!$P28/12,-(SUMIF($D$2:$EE$2,BK$2-1,$D27:$EE27)/12)*(1+XLOOKUP(BK$2,Assumptions!$C$94:$M$94,Assumptions!$C$98:$M$98))))</f>
        <v>-8482.636392</v>
      </c>
      <c r="BL27" s="54">
        <f t="array" ref="BL27">-(IF(BL$2=1,Assumptions!$P28/12,-(SUMIF($D$2:$EE$2,BL$2-1,$D27:$EE27)/12)*(1+XLOOKUP(BL$2,Assumptions!$C$94:$M$94,Assumptions!$C$98:$M$98))))</f>
        <v>-8737.115484</v>
      </c>
      <c r="BM27" s="54">
        <f t="array" ref="BM27">-(IF(BM$2=1,Assumptions!$P28/12,-(SUMIF($D$2:$EE$2,BM$2-1,$D27:$EE27)/12)*(1+XLOOKUP(BM$2,Assumptions!$C$94:$M$94,Assumptions!$C$98:$M$98))))</f>
        <v>-8737.115484</v>
      </c>
      <c r="BN27" s="54">
        <f t="array" ref="BN27">-(IF(BN$2=1,Assumptions!$P28/12,-(SUMIF($D$2:$EE$2,BN$2-1,$D27:$EE27)/12)*(1+XLOOKUP(BN$2,Assumptions!$C$94:$M$94,Assumptions!$C$98:$M$98))))</f>
        <v>-8737.115484</v>
      </c>
      <c r="BO27" s="54">
        <f t="array" ref="BO27">-(IF(BO$2=1,Assumptions!$P28/12,-(SUMIF($D$2:$EE$2,BO$2-1,$D27:$EE27)/12)*(1+XLOOKUP(BO$2,Assumptions!$C$94:$M$94,Assumptions!$C$98:$M$98))))</f>
        <v>-8737.115484</v>
      </c>
      <c r="BP27" s="54">
        <f t="array" ref="BP27">-(IF(BP$2=1,Assumptions!$P28/12,-(SUMIF($D$2:$EE$2,BP$2-1,$D27:$EE27)/12)*(1+XLOOKUP(BP$2,Assumptions!$C$94:$M$94,Assumptions!$C$98:$M$98))))</f>
        <v>-8737.115484</v>
      </c>
      <c r="BQ27" s="54">
        <f t="array" ref="BQ27">-(IF(BQ$2=1,Assumptions!$P28/12,-(SUMIF($D$2:$EE$2,BQ$2-1,$D27:$EE27)/12)*(1+XLOOKUP(BQ$2,Assumptions!$C$94:$M$94,Assumptions!$C$98:$M$98))))</f>
        <v>-8737.115484</v>
      </c>
      <c r="BR27" s="54">
        <f t="array" ref="BR27">-(IF(BR$2=1,Assumptions!$P28/12,-(SUMIF($D$2:$EE$2,BR$2-1,$D27:$EE27)/12)*(1+XLOOKUP(BR$2,Assumptions!$C$94:$M$94,Assumptions!$C$98:$M$98))))</f>
        <v>-8737.115484</v>
      </c>
      <c r="BS27" s="54">
        <f t="array" ref="BS27">-(IF(BS$2=1,Assumptions!$P28/12,-(SUMIF($D$2:$EE$2,BS$2-1,$D27:$EE27)/12)*(1+XLOOKUP(BS$2,Assumptions!$C$94:$M$94,Assumptions!$C$98:$M$98))))</f>
        <v>-8737.115484</v>
      </c>
      <c r="BT27" s="54">
        <f t="array" ref="BT27">-(IF(BT$2=1,Assumptions!$P28/12,-(SUMIF($D$2:$EE$2,BT$2-1,$D27:$EE27)/12)*(1+XLOOKUP(BT$2,Assumptions!$C$94:$M$94,Assumptions!$C$98:$M$98))))</f>
        <v>-8737.115484</v>
      </c>
      <c r="BU27" s="54">
        <f t="array" ref="BU27">-(IF(BU$2=1,Assumptions!$P28/12,-(SUMIF($D$2:$EE$2,BU$2-1,$D27:$EE27)/12)*(1+XLOOKUP(BU$2,Assumptions!$C$94:$M$94,Assumptions!$C$98:$M$98))))</f>
        <v>-8737.115484</v>
      </c>
      <c r="BV27" s="54">
        <f t="array" ref="BV27">-(IF(BV$2=1,Assumptions!$P28/12,-(SUMIF($D$2:$EE$2,BV$2-1,$D27:$EE27)/12)*(1+XLOOKUP(BV$2,Assumptions!$C$94:$M$94,Assumptions!$C$98:$M$98))))</f>
        <v>-8737.115484</v>
      </c>
      <c r="BW27" s="54">
        <f t="array" ref="BW27">-(IF(BW$2=1,Assumptions!$P28/12,-(SUMIF($D$2:$EE$2,BW$2-1,$D27:$EE27)/12)*(1+XLOOKUP(BW$2,Assumptions!$C$94:$M$94,Assumptions!$C$98:$M$98))))</f>
        <v>-8737.115484</v>
      </c>
      <c r="BX27" s="54">
        <f t="array" ref="BX27">-(IF(BX$2=1,Assumptions!$P28/12,-(SUMIF($D$2:$EE$2,BX$2-1,$D27:$EE27)/12)*(1+XLOOKUP(BX$2,Assumptions!$C$94:$M$94,Assumptions!$C$98:$M$98))))</f>
        <v>-8999.228949</v>
      </c>
      <c r="BY27" s="54">
        <f t="array" ref="BY27">-(IF(BY$2=1,Assumptions!$P28/12,-(SUMIF($D$2:$EE$2,BY$2-1,$D27:$EE27)/12)*(1+XLOOKUP(BY$2,Assumptions!$C$94:$M$94,Assumptions!$C$98:$M$98))))</f>
        <v>-8999.228949</v>
      </c>
      <c r="BZ27" s="54">
        <f t="array" ref="BZ27">-(IF(BZ$2=1,Assumptions!$P28/12,-(SUMIF($D$2:$EE$2,BZ$2-1,$D27:$EE27)/12)*(1+XLOOKUP(BZ$2,Assumptions!$C$94:$M$94,Assumptions!$C$98:$M$98))))</f>
        <v>-8999.228949</v>
      </c>
      <c r="CA27" s="54">
        <f t="array" ref="CA27">-(IF(CA$2=1,Assumptions!$P28/12,-(SUMIF($D$2:$EE$2,CA$2-1,$D27:$EE27)/12)*(1+XLOOKUP(CA$2,Assumptions!$C$94:$M$94,Assumptions!$C$98:$M$98))))</f>
        <v>-8999.228949</v>
      </c>
      <c r="CB27" s="54">
        <f t="array" ref="CB27">-(IF(CB$2=1,Assumptions!$P28/12,-(SUMIF($D$2:$EE$2,CB$2-1,$D27:$EE27)/12)*(1+XLOOKUP(CB$2,Assumptions!$C$94:$M$94,Assumptions!$C$98:$M$98))))</f>
        <v>-8999.228949</v>
      </c>
      <c r="CC27" s="54">
        <f t="array" ref="CC27">-(IF(CC$2=1,Assumptions!$P28/12,-(SUMIF($D$2:$EE$2,CC$2-1,$D27:$EE27)/12)*(1+XLOOKUP(CC$2,Assumptions!$C$94:$M$94,Assumptions!$C$98:$M$98))))</f>
        <v>-8999.228949</v>
      </c>
      <c r="CD27" s="54">
        <f t="array" ref="CD27">-(IF(CD$2=1,Assumptions!$P28/12,-(SUMIF($D$2:$EE$2,CD$2-1,$D27:$EE27)/12)*(1+XLOOKUP(CD$2,Assumptions!$C$94:$M$94,Assumptions!$C$98:$M$98))))</f>
        <v>-8999.228949</v>
      </c>
      <c r="CE27" s="54">
        <f t="array" ref="CE27">-(IF(CE$2=1,Assumptions!$P28/12,-(SUMIF($D$2:$EE$2,CE$2-1,$D27:$EE27)/12)*(1+XLOOKUP(CE$2,Assumptions!$C$94:$M$94,Assumptions!$C$98:$M$98))))</f>
        <v>-8999.228949</v>
      </c>
      <c r="CF27" s="54">
        <f t="array" ref="CF27">-(IF(CF$2=1,Assumptions!$P28/12,-(SUMIF($D$2:$EE$2,CF$2-1,$D27:$EE27)/12)*(1+XLOOKUP(CF$2,Assumptions!$C$94:$M$94,Assumptions!$C$98:$M$98))))</f>
        <v>-8999.228949</v>
      </c>
      <c r="CG27" s="54">
        <f t="array" ref="CG27">-(IF(CG$2=1,Assumptions!$P28/12,-(SUMIF($D$2:$EE$2,CG$2-1,$D27:$EE27)/12)*(1+XLOOKUP(CG$2,Assumptions!$C$94:$M$94,Assumptions!$C$98:$M$98))))</f>
        <v>-8999.228949</v>
      </c>
      <c r="CH27" s="54">
        <f t="array" ref="CH27">-(IF(CH$2=1,Assumptions!$P28/12,-(SUMIF($D$2:$EE$2,CH$2-1,$D27:$EE27)/12)*(1+XLOOKUP(CH$2,Assumptions!$C$94:$M$94,Assumptions!$C$98:$M$98))))</f>
        <v>-8999.228949</v>
      </c>
      <c r="CI27" s="54">
        <f t="array" ref="CI27">-(IF(CI$2=1,Assumptions!$P28/12,-(SUMIF($D$2:$EE$2,CI$2-1,$D27:$EE27)/12)*(1+XLOOKUP(CI$2,Assumptions!$C$94:$M$94,Assumptions!$C$98:$M$98))))</f>
        <v>-8999.228949</v>
      </c>
      <c r="CJ27" s="54">
        <f t="array" ref="CJ27">-(IF(CJ$2=1,Assumptions!$P28/12,-(SUMIF($D$2:$EE$2,CJ$2-1,$D27:$EE27)/12)*(1+XLOOKUP(CJ$2,Assumptions!$C$94:$M$94,Assumptions!$C$98:$M$98))))</f>
        <v>-9269.205817</v>
      </c>
      <c r="CK27" s="54">
        <f t="array" ref="CK27">-(IF(CK$2=1,Assumptions!$P28/12,-(SUMIF($D$2:$EE$2,CK$2-1,$D27:$EE27)/12)*(1+XLOOKUP(CK$2,Assumptions!$C$94:$M$94,Assumptions!$C$98:$M$98))))</f>
        <v>-9269.205817</v>
      </c>
      <c r="CL27" s="54">
        <f t="array" ref="CL27">-(IF(CL$2=1,Assumptions!$P28/12,-(SUMIF($D$2:$EE$2,CL$2-1,$D27:$EE27)/12)*(1+XLOOKUP(CL$2,Assumptions!$C$94:$M$94,Assumptions!$C$98:$M$98))))</f>
        <v>-9269.205817</v>
      </c>
      <c r="CM27" s="54">
        <f t="array" ref="CM27">-(IF(CM$2=1,Assumptions!$P28/12,-(SUMIF($D$2:$EE$2,CM$2-1,$D27:$EE27)/12)*(1+XLOOKUP(CM$2,Assumptions!$C$94:$M$94,Assumptions!$C$98:$M$98))))</f>
        <v>-9269.205817</v>
      </c>
      <c r="CN27" s="54">
        <f t="array" ref="CN27">-(IF(CN$2=1,Assumptions!$P28/12,-(SUMIF($D$2:$EE$2,CN$2-1,$D27:$EE27)/12)*(1+XLOOKUP(CN$2,Assumptions!$C$94:$M$94,Assumptions!$C$98:$M$98))))</f>
        <v>-9269.205817</v>
      </c>
      <c r="CO27" s="54">
        <f t="array" ref="CO27">-(IF(CO$2=1,Assumptions!$P28/12,-(SUMIF($D$2:$EE$2,CO$2-1,$D27:$EE27)/12)*(1+XLOOKUP(CO$2,Assumptions!$C$94:$M$94,Assumptions!$C$98:$M$98))))</f>
        <v>-9269.205817</v>
      </c>
      <c r="CP27" s="54">
        <f t="array" ref="CP27">-(IF(CP$2=1,Assumptions!$P28/12,-(SUMIF($D$2:$EE$2,CP$2-1,$D27:$EE27)/12)*(1+XLOOKUP(CP$2,Assumptions!$C$94:$M$94,Assumptions!$C$98:$M$98))))</f>
        <v>-9269.205817</v>
      </c>
      <c r="CQ27" s="54">
        <f t="array" ref="CQ27">-(IF(CQ$2=1,Assumptions!$P28/12,-(SUMIF($D$2:$EE$2,CQ$2-1,$D27:$EE27)/12)*(1+XLOOKUP(CQ$2,Assumptions!$C$94:$M$94,Assumptions!$C$98:$M$98))))</f>
        <v>-9269.205817</v>
      </c>
      <c r="CR27" s="54">
        <f t="array" ref="CR27">-(IF(CR$2=1,Assumptions!$P28/12,-(SUMIF($D$2:$EE$2,CR$2-1,$D27:$EE27)/12)*(1+XLOOKUP(CR$2,Assumptions!$C$94:$M$94,Assumptions!$C$98:$M$98))))</f>
        <v>-9269.205817</v>
      </c>
      <c r="CS27" s="54">
        <f t="array" ref="CS27">-(IF(CS$2=1,Assumptions!$P28/12,-(SUMIF($D$2:$EE$2,CS$2-1,$D27:$EE27)/12)*(1+XLOOKUP(CS$2,Assumptions!$C$94:$M$94,Assumptions!$C$98:$M$98))))</f>
        <v>-9269.205817</v>
      </c>
      <c r="CT27" s="54">
        <f t="array" ref="CT27">-(IF(CT$2=1,Assumptions!$P28/12,-(SUMIF($D$2:$EE$2,CT$2-1,$D27:$EE27)/12)*(1+XLOOKUP(CT$2,Assumptions!$C$94:$M$94,Assumptions!$C$98:$M$98))))</f>
        <v>-9269.205817</v>
      </c>
      <c r="CU27" s="54">
        <f t="array" ref="CU27">-(IF(CU$2=1,Assumptions!$P28/12,-(SUMIF($D$2:$EE$2,CU$2-1,$D27:$EE27)/12)*(1+XLOOKUP(CU$2,Assumptions!$C$94:$M$94,Assumptions!$C$98:$M$98))))</f>
        <v>-9269.205817</v>
      </c>
      <c r="CV27" s="54">
        <f t="array" ref="CV27">-(IF(CV$2=1,Assumptions!$P28/12,-(SUMIF($D$2:$EE$2,CV$2-1,$D27:$EE27)/12)*(1+XLOOKUP(CV$2,Assumptions!$C$94:$M$94,Assumptions!$C$98:$M$98))))</f>
        <v>-9547.281991</v>
      </c>
      <c r="CW27" s="54">
        <f t="array" ref="CW27">-(IF(CW$2=1,Assumptions!$P28/12,-(SUMIF($D$2:$EE$2,CW$2-1,$D27:$EE27)/12)*(1+XLOOKUP(CW$2,Assumptions!$C$94:$M$94,Assumptions!$C$98:$M$98))))</f>
        <v>-9547.281991</v>
      </c>
      <c r="CX27" s="54">
        <f t="array" ref="CX27">-(IF(CX$2=1,Assumptions!$P28/12,-(SUMIF($D$2:$EE$2,CX$2-1,$D27:$EE27)/12)*(1+XLOOKUP(CX$2,Assumptions!$C$94:$M$94,Assumptions!$C$98:$M$98))))</f>
        <v>-9547.281991</v>
      </c>
      <c r="CY27" s="54">
        <f t="array" ref="CY27">-(IF(CY$2=1,Assumptions!$P28/12,-(SUMIF($D$2:$EE$2,CY$2-1,$D27:$EE27)/12)*(1+XLOOKUP(CY$2,Assumptions!$C$94:$M$94,Assumptions!$C$98:$M$98))))</f>
        <v>-9547.281991</v>
      </c>
      <c r="CZ27" s="54">
        <f t="array" ref="CZ27">-(IF(CZ$2=1,Assumptions!$P28/12,-(SUMIF($D$2:$EE$2,CZ$2-1,$D27:$EE27)/12)*(1+XLOOKUP(CZ$2,Assumptions!$C$94:$M$94,Assumptions!$C$98:$M$98))))</f>
        <v>-9547.281991</v>
      </c>
      <c r="DA27" s="54">
        <f t="array" ref="DA27">-(IF(DA$2=1,Assumptions!$P28/12,-(SUMIF($D$2:$EE$2,DA$2-1,$D27:$EE27)/12)*(1+XLOOKUP(DA$2,Assumptions!$C$94:$M$94,Assumptions!$C$98:$M$98))))</f>
        <v>-9547.281991</v>
      </c>
      <c r="DB27" s="54">
        <f t="array" ref="DB27">-(IF(DB$2=1,Assumptions!$P28/12,-(SUMIF($D$2:$EE$2,DB$2-1,$D27:$EE27)/12)*(1+XLOOKUP(DB$2,Assumptions!$C$94:$M$94,Assumptions!$C$98:$M$98))))</f>
        <v>-9547.281991</v>
      </c>
      <c r="DC27" s="54">
        <f t="array" ref="DC27">-(IF(DC$2=1,Assumptions!$P28/12,-(SUMIF($D$2:$EE$2,DC$2-1,$D27:$EE27)/12)*(1+XLOOKUP(DC$2,Assumptions!$C$94:$M$94,Assumptions!$C$98:$M$98))))</f>
        <v>-9547.281991</v>
      </c>
      <c r="DD27" s="54">
        <f t="array" ref="DD27">-(IF(DD$2=1,Assumptions!$P28/12,-(SUMIF($D$2:$EE$2,DD$2-1,$D27:$EE27)/12)*(1+XLOOKUP(DD$2,Assumptions!$C$94:$M$94,Assumptions!$C$98:$M$98))))</f>
        <v>-9547.281991</v>
      </c>
      <c r="DE27" s="54">
        <f t="array" ref="DE27">-(IF(DE$2=1,Assumptions!$P28/12,-(SUMIF($D$2:$EE$2,DE$2-1,$D27:$EE27)/12)*(1+XLOOKUP(DE$2,Assumptions!$C$94:$M$94,Assumptions!$C$98:$M$98))))</f>
        <v>-9547.281991</v>
      </c>
      <c r="DF27" s="54">
        <f t="array" ref="DF27">-(IF(DF$2=1,Assumptions!$P28/12,-(SUMIF($D$2:$EE$2,DF$2-1,$D27:$EE27)/12)*(1+XLOOKUP(DF$2,Assumptions!$C$94:$M$94,Assumptions!$C$98:$M$98))))</f>
        <v>-9547.281991</v>
      </c>
      <c r="DG27" s="54">
        <f t="array" ref="DG27">-(IF(DG$2=1,Assumptions!$P28/12,-(SUMIF($D$2:$EE$2,DG$2-1,$D27:$EE27)/12)*(1+XLOOKUP(DG$2,Assumptions!$C$94:$M$94,Assumptions!$C$98:$M$98))))</f>
        <v>-9547.281991</v>
      </c>
      <c r="DH27" s="54">
        <f t="array" ref="DH27">-(IF(DH$2=1,Assumptions!$P28/12,-(SUMIF($D$2:$EE$2,DH$2-1,$D27:$EE27)/12)*(1+XLOOKUP(DH$2,Assumptions!$C$94:$M$94,Assumptions!$C$98:$M$98))))</f>
        <v>-9833.700451</v>
      </c>
      <c r="DI27" s="54">
        <f t="array" ref="DI27">-(IF(DI$2=1,Assumptions!$P28/12,-(SUMIF($D$2:$EE$2,DI$2-1,$D27:$EE27)/12)*(1+XLOOKUP(DI$2,Assumptions!$C$94:$M$94,Assumptions!$C$98:$M$98))))</f>
        <v>-9833.700451</v>
      </c>
      <c r="DJ27" s="54">
        <f t="array" ref="DJ27">-(IF(DJ$2=1,Assumptions!$P28/12,-(SUMIF($D$2:$EE$2,DJ$2-1,$D27:$EE27)/12)*(1+XLOOKUP(DJ$2,Assumptions!$C$94:$M$94,Assumptions!$C$98:$M$98))))</f>
        <v>-9833.700451</v>
      </c>
      <c r="DK27" s="54">
        <f t="array" ref="DK27">-(IF(DK$2=1,Assumptions!$P28/12,-(SUMIF($D$2:$EE$2,DK$2-1,$D27:$EE27)/12)*(1+XLOOKUP(DK$2,Assumptions!$C$94:$M$94,Assumptions!$C$98:$M$98))))</f>
        <v>-9833.700451</v>
      </c>
      <c r="DL27" s="54">
        <f t="array" ref="DL27">-(IF(DL$2=1,Assumptions!$P28/12,-(SUMIF($D$2:$EE$2,DL$2-1,$D27:$EE27)/12)*(1+XLOOKUP(DL$2,Assumptions!$C$94:$M$94,Assumptions!$C$98:$M$98))))</f>
        <v>-9833.700451</v>
      </c>
      <c r="DM27" s="54">
        <f t="array" ref="DM27">-(IF(DM$2=1,Assumptions!$P28/12,-(SUMIF($D$2:$EE$2,DM$2-1,$D27:$EE27)/12)*(1+XLOOKUP(DM$2,Assumptions!$C$94:$M$94,Assumptions!$C$98:$M$98))))</f>
        <v>-9833.700451</v>
      </c>
      <c r="DN27" s="54">
        <f t="array" ref="DN27">-(IF(DN$2=1,Assumptions!$P28/12,-(SUMIF($D$2:$EE$2,DN$2-1,$D27:$EE27)/12)*(1+XLOOKUP(DN$2,Assumptions!$C$94:$M$94,Assumptions!$C$98:$M$98))))</f>
        <v>-9833.700451</v>
      </c>
      <c r="DO27" s="54">
        <f t="array" ref="DO27">-(IF(DO$2=1,Assumptions!$P28/12,-(SUMIF($D$2:$EE$2,DO$2-1,$D27:$EE27)/12)*(1+XLOOKUP(DO$2,Assumptions!$C$94:$M$94,Assumptions!$C$98:$M$98))))</f>
        <v>-9833.700451</v>
      </c>
      <c r="DP27" s="54">
        <f t="array" ref="DP27">-(IF(DP$2=1,Assumptions!$P28/12,-(SUMIF($D$2:$EE$2,DP$2-1,$D27:$EE27)/12)*(1+XLOOKUP(DP$2,Assumptions!$C$94:$M$94,Assumptions!$C$98:$M$98))))</f>
        <v>-9833.700451</v>
      </c>
      <c r="DQ27" s="54">
        <f t="array" ref="DQ27">-(IF(DQ$2=1,Assumptions!$P28/12,-(SUMIF($D$2:$EE$2,DQ$2-1,$D27:$EE27)/12)*(1+XLOOKUP(DQ$2,Assumptions!$C$94:$M$94,Assumptions!$C$98:$M$98))))</f>
        <v>-9833.700451</v>
      </c>
      <c r="DR27" s="54">
        <f t="array" ref="DR27">-(IF(DR$2=1,Assumptions!$P28/12,-(SUMIF($D$2:$EE$2,DR$2-1,$D27:$EE27)/12)*(1+XLOOKUP(DR$2,Assumptions!$C$94:$M$94,Assumptions!$C$98:$M$98))))</f>
        <v>-9833.700451</v>
      </c>
      <c r="DS27" s="54">
        <f t="array" ref="DS27">-(IF(DS$2=1,Assumptions!$P28/12,-(SUMIF($D$2:$EE$2,DS$2-1,$D27:$EE27)/12)*(1+XLOOKUP(DS$2,Assumptions!$C$94:$M$94,Assumptions!$C$98:$M$98))))</f>
        <v>-9833.700451</v>
      </c>
      <c r="DT27" s="54">
        <f t="array" ref="DT27">-(IF(DT$2=1,Assumptions!$P28/12,-(SUMIF($D$2:$EE$2,DT$2-1,$D27:$EE27)/12)*(1+XLOOKUP(DT$2,Assumptions!$C$94:$M$94,Assumptions!$C$98:$M$98))))</f>
        <v>-10128.71146</v>
      </c>
      <c r="DU27" s="54">
        <f t="array" ref="DU27">-(IF(DU$2=1,Assumptions!$P28/12,-(SUMIF($D$2:$EE$2,DU$2-1,$D27:$EE27)/12)*(1+XLOOKUP(DU$2,Assumptions!$C$94:$M$94,Assumptions!$C$98:$M$98))))</f>
        <v>-10128.71146</v>
      </c>
      <c r="DV27" s="54">
        <f t="array" ref="DV27">-(IF(DV$2=1,Assumptions!$P28/12,-(SUMIF($D$2:$EE$2,DV$2-1,$D27:$EE27)/12)*(1+XLOOKUP(DV$2,Assumptions!$C$94:$M$94,Assumptions!$C$98:$M$98))))</f>
        <v>-10128.71146</v>
      </c>
      <c r="DW27" s="54">
        <f t="array" ref="DW27">-(IF(DW$2=1,Assumptions!$P28/12,-(SUMIF($D$2:$EE$2,DW$2-1,$D27:$EE27)/12)*(1+XLOOKUP(DW$2,Assumptions!$C$94:$M$94,Assumptions!$C$98:$M$98))))</f>
        <v>-10128.71146</v>
      </c>
      <c r="DX27" s="54">
        <f t="array" ref="DX27">-(IF(DX$2=1,Assumptions!$P28/12,-(SUMIF($D$2:$EE$2,DX$2-1,$D27:$EE27)/12)*(1+XLOOKUP(DX$2,Assumptions!$C$94:$M$94,Assumptions!$C$98:$M$98))))</f>
        <v>-10128.71146</v>
      </c>
      <c r="DY27" s="54">
        <f t="array" ref="DY27">-(IF(DY$2=1,Assumptions!$P28/12,-(SUMIF($D$2:$EE$2,DY$2-1,$D27:$EE27)/12)*(1+XLOOKUP(DY$2,Assumptions!$C$94:$M$94,Assumptions!$C$98:$M$98))))</f>
        <v>-10128.71146</v>
      </c>
      <c r="DZ27" s="54">
        <f t="array" ref="DZ27">-(IF(DZ$2=1,Assumptions!$P28/12,-(SUMIF($D$2:$EE$2,DZ$2-1,$D27:$EE27)/12)*(1+XLOOKUP(DZ$2,Assumptions!$C$94:$M$94,Assumptions!$C$98:$M$98))))</f>
        <v>-10128.71146</v>
      </c>
      <c r="EA27" s="54">
        <f t="array" ref="EA27">-(IF(EA$2=1,Assumptions!$P28/12,-(SUMIF($D$2:$EE$2,EA$2-1,$D27:$EE27)/12)*(1+XLOOKUP(EA$2,Assumptions!$C$94:$M$94,Assumptions!$C$98:$M$98))))</f>
        <v>-10128.71146</v>
      </c>
      <c r="EB27" s="54">
        <f t="array" ref="EB27">-(IF(EB$2=1,Assumptions!$P28/12,-(SUMIF($D$2:$EE$2,EB$2-1,$D27:$EE27)/12)*(1+XLOOKUP(EB$2,Assumptions!$C$94:$M$94,Assumptions!$C$98:$M$98))))</f>
        <v>-10128.71146</v>
      </c>
      <c r="EC27" s="54">
        <f t="array" ref="EC27">-(IF(EC$2=1,Assumptions!$P28/12,-(SUMIF($D$2:$EE$2,EC$2-1,$D27:$EE27)/12)*(1+XLOOKUP(EC$2,Assumptions!$C$94:$M$94,Assumptions!$C$98:$M$98))))</f>
        <v>-10128.71146</v>
      </c>
      <c r="ED27" s="54">
        <f t="array" ref="ED27">-(IF(ED$2=1,Assumptions!$P28/12,-(SUMIF($D$2:$EE$2,ED$2-1,$D27:$EE27)/12)*(1+XLOOKUP(ED$2,Assumptions!$C$94:$M$94,Assumptions!$C$98:$M$98))))</f>
        <v>-10128.71146</v>
      </c>
      <c r="EE27" s="54">
        <f t="array" ref="EE27">-(IF(EE$2=1,Assumptions!$P28/12,-(SUMIF($D$2:$EE$2,EE$2-1,$D27:$EE27)/12)*(1+XLOOKUP(EE$2,Assumptions!$C$94:$M$94,Assumptions!$C$98:$M$98))))</f>
        <v>-10128.71146</v>
      </c>
    </row>
    <row r="28" ht="15.75" customHeight="1">
      <c r="A28" s="1"/>
      <c r="B28" s="1"/>
      <c r="C28" s="1" t="str">
        <f>Assumptions!J29</f>
        <v>Marketing</v>
      </c>
      <c r="D28" s="54">
        <f t="array" ref="D28">-(IF(D$2=1,Assumptions!$P29/12,-(SUMIF($D$2:$EE$2,D$2-1,$D28:$EE28)/12)*(1+XLOOKUP(D$2,Assumptions!$C$94:$M$94,Assumptions!$C$98:$M$98))))</f>
        <v>-2264.588042</v>
      </c>
      <c r="E28" s="54">
        <f t="array" ref="E28">-(IF(E$2=1,Assumptions!$P29/12,-(SUMIF($D$2:$EE$2,E$2-1,$D28:$EE28)/12)*(1+XLOOKUP(E$2,Assumptions!$C$94:$M$94,Assumptions!$C$98:$M$98))))</f>
        <v>-2264.588042</v>
      </c>
      <c r="F28" s="54">
        <f t="array" ref="F28">-(IF(F$2=1,Assumptions!$P29/12,-(SUMIF($D$2:$EE$2,F$2-1,$D28:$EE28)/12)*(1+XLOOKUP(F$2,Assumptions!$C$94:$M$94,Assumptions!$C$98:$M$98))))</f>
        <v>-2264.588042</v>
      </c>
      <c r="G28" s="54">
        <f t="array" ref="G28">-(IF(G$2=1,Assumptions!$P29/12,-(SUMIF($D$2:$EE$2,G$2-1,$D28:$EE28)/12)*(1+XLOOKUP(G$2,Assumptions!$C$94:$M$94,Assumptions!$C$98:$M$98))))</f>
        <v>-2264.588042</v>
      </c>
      <c r="H28" s="54">
        <f t="array" ref="H28">-(IF(H$2=1,Assumptions!$P29/12,-(SUMIF($D$2:$EE$2,H$2-1,$D28:$EE28)/12)*(1+XLOOKUP(H$2,Assumptions!$C$94:$M$94,Assumptions!$C$98:$M$98))))</f>
        <v>-2264.588042</v>
      </c>
      <c r="I28" s="54">
        <f t="array" ref="I28">-(IF(I$2=1,Assumptions!$P29/12,-(SUMIF($D$2:$EE$2,I$2-1,$D28:$EE28)/12)*(1+XLOOKUP(I$2,Assumptions!$C$94:$M$94,Assumptions!$C$98:$M$98))))</f>
        <v>-2264.588042</v>
      </c>
      <c r="J28" s="54">
        <f t="array" ref="J28">-(IF(J$2=1,Assumptions!$P29/12,-(SUMIF($D$2:$EE$2,J$2-1,$D28:$EE28)/12)*(1+XLOOKUP(J$2,Assumptions!$C$94:$M$94,Assumptions!$C$98:$M$98))))</f>
        <v>-2264.588042</v>
      </c>
      <c r="K28" s="54">
        <f t="array" ref="K28">-(IF(K$2=1,Assumptions!$P29/12,-(SUMIF($D$2:$EE$2,K$2-1,$D28:$EE28)/12)*(1+XLOOKUP(K$2,Assumptions!$C$94:$M$94,Assumptions!$C$98:$M$98))))</f>
        <v>-2264.588042</v>
      </c>
      <c r="L28" s="54">
        <f t="array" ref="L28">-(IF(L$2=1,Assumptions!$P29/12,-(SUMIF($D$2:$EE$2,L$2-1,$D28:$EE28)/12)*(1+XLOOKUP(L$2,Assumptions!$C$94:$M$94,Assumptions!$C$98:$M$98))))</f>
        <v>-2264.588042</v>
      </c>
      <c r="M28" s="54">
        <f t="array" ref="M28">-(IF(M$2=1,Assumptions!$P29/12,-(SUMIF($D$2:$EE$2,M$2-1,$D28:$EE28)/12)*(1+XLOOKUP(M$2,Assumptions!$C$94:$M$94,Assumptions!$C$98:$M$98))))</f>
        <v>-2264.588042</v>
      </c>
      <c r="N28" s="54">
        <f t="array" ref="N28">-(IF(N$2=1,Assumptions!$P29/12,-(SUMIF($D$2:$EE$2,N$2-1,$D28:$EE28)/12)*(1+XLOOKUP(N$2,Assumptions!$C$94:$M$94,Assumptions!$C$98:$M$98))))</f>
        <v>-2264.588042</v>
      </c>
      <c r="O28" s="54">
        <f t="array" ref="O28">-(IF(O$2=1,Assumptions!$P29/12,-(SUMIF($D$2:$EE$2,O$2-1,$D28:$EE28)/12)*(1+XLOOKUP(O$2,Assumptions!$C$94:$M$94,Assumptions!$C$98:$M$98))))</f>
        <v>-2264.588042</v>
      </c>
      <c r="P28" s="54">
        <f t="array" ref="P28">-(IF(P$2=1,Assumptions!$P29/12,-(SUMIF($D$2:$EE$2,P$2-1,$D28:$EE28)/12)*(1+XLOOKUP(P$2,Assumptions!$C$94:$M$94,Assumptions!$C$98:$M$98))))</f>
        <v>-2332.525683</v>
      </c>
      <c r="Q28" s="54">
        <f t="array" ref="Q28">-(IF(Q$2=1,Assumptions!$P29/12,-(SUMIF($D$2:$EE$2,Q$2-1,$D28:$EE28)/12)*(1+XLOOKUP(Q$2,Assumptions!$C$94:$M$94,Assumptions!$C$98:$M$98))))</f>
        <v>-2332.525683</v>
      </c>
      <c r="R28" s="54">
        <f t="array" ref="R28">-(IF(R$2=1,Assumptions!$P29/12,-(SUMIF($D$2:$EE$2,R$2-1,$D28:$EE28)/12)*(1+XLOOKUP(R$2,Assumptions!$C$94:$M$94,Assumptions!$C$98:$M$98))))</f>
        <v>-2332.525683</v>
      </c>
      <c r="S28" s="54">
        <f t="array" ref="S28">-(IF(S$2=1,Assumptions!$P29/12,-(SUMIF($D$2:$EE$2,S$2-1,$D28:$EE28)/12)*(1+XLOOKUP(S$2,Assumptions!$C$94:$M$94,Assumptions!$C$98:$M$98))))</f>
        <v>-2332.525683</v>
      </c>
      <c r="T28" s="54">
        <f t="array" ref="T28">-(IF(T$2=1,Assumptions!$P29/12,-(SUMIF($D$2:$EE$2,T$2-1,$D28:$EE28)/12)*(1+XLOOKUP(T$2,Assumptions!$C$94:$M$94,Assumptions!$C$98:$M$98))))</f>
        <v>-2332.525683</v>
      </c>
      <c r="U28" s="54">
        <f t="array" ref="U28">-(IF(U$2=1,Assumptions!$P29/12,-(SUMIF($D$2:$EE$2,U$2-1,$D28:$EE28)/12)*(1+XLOOKUP(U$2,Assumptions!$C$94:$M$94,Assumptions!$C$98:$M$98))))</f>
        <v>-2332.525683</v>
      </c>
      <c r="V28" s="54">
        <f t="array" ref="V28">-(IF(V$2=1,Assumptions!$P29/12,-(SUMIF($D$2:$EE$2,V$2-1,$D28:$EE28)/12)*(1+XLOOKUP(V$2,Assumptions!$C$94:$M$94,Assumptions!$C$98:$M$98))))</f>
        <v>-2332.525683</v>
      </c>
      <c r="W28" s="54">
        <f t="array" ref="W28">-(IF(W$2=1,Assumptions!$P29/12,-(SUMIF($D$2:$EE$2,W$2-1,$D28:$EE28)/12)*(1+XLOOKUP(W$2,Assumptions!$C$94:$M$94,Assumptions!$C$98:$M$98))))</f>
        <v>-2332.525683</v>
      </c>
      <c r="X28" s="54">
        <f t="array" ref="X28">-(IF(X$2=1,Assumptions!$P29/12,-(SUMIF($D$2:$EE$2,X$2-1,$D28:$EE28)/12)*(1+XLOOKUP(X$2,Assumptions!$C$94:$M$94,Assumptions!$C$98:$M$98))))</f>
        <v>-2332.525683</v>
      </c>
      <c r="Y28" s="54">
        <f t="array" ref="Y28">-(IF(Y$2=1,Assumptions!$P29/12,-(SUMIF($D$2:$EE$2,Y$2-1,$D28:$EE28)/12)*(1+XLOOKUP(Y$2,Assumptions!$C$94:$M$94,Assumptions!$C$98:$M$98))))</f>
        <v>-2332.525683</v>
      </c>
      <c r="Z28" s="54">
        <f t="array" ref="Z28">-(IF(Z$2=1,Assumptions!$P29/12,-(SUMIF($D$2:$EE$2,Z$2-1,$D28:$EE28)/12)*(1+XLOOKUP(Z$2,Assumptions!$C$94:$M$94,Assumptions!$C$98:$M$98))))</f>
        <v>-2332.525683</v>
      </c>
      <c r="AA28" s="54">
        <f t="array" ref="AA28">-(IF(AA$2=1,Assumptions!$P29/12,-(SUMIF($D$2:$EE$2,AA$2-1,$D28:$EE28)/12)*(1+XLOOKUP(AA$2,Assumptions!$C$94:$M$94,Assumptions!$C$98:$M$98))))</f>
        <v>-2332.525683</v>
      </c>
      <c r="AB28" s="54">
        <f t="array" ref="AB28">-(IF(AB$2=1,Assumptions!$P29/12,-(SUMIF($D$2:$EE$2,AB$2-1,$D28:$EE28)/12)*(1+XLOOKUP(AB$2,Assumptions!$C$94:$M$94,Assumptions!$C$98:$M$98))))</f>
        <v>-2402.501453</v>
      </c>
      <c r="AC28" s="54">
        <f t="array" ref="AC28">-(IF(AC$2=1,Assumptions!$P29/12,-(SUMIF($D$2:$EE$2,AC$2-1,$D28:$EE28)/12)*(1+XLOOKUP(AC$2,Assumptions!$C$94:$M$94,Assumptions!$C$98:$M$98))))</f>
        <v>-2402.501453</v>
      </c>
      <c r="AD28" s="54">
        <f t="array" ref="AD28">-(IF(AD$2=1,Assumptions!$P29/12,-(SUMIF($D$2:$EE$2,AD$2-1,$D28:$EE28)/12)*(1+XLOOKUP(AD$2,Assumptions!$C$94:$M$94,Assumptions!$C$98:$M$98))))</f>
        <v>-2402.501453</v>
      </c>
      <c r="AE28" s="54">
        <f t="array" ref="AE28">-(IF(AE$2=1,Assumptions!$P29/12,-(SUMIF($D$2:$EE$2,AE$2-1,$D28:$EE28)/12)*(1+XLOOKUP(AE$2,Assumptions!$C$94:$M$94,Assumptions!$C$98:$M$98))))</f>
        <v>-2402.501453</v>
      </c>
      <c r="AF28" s="54">
        <f t="array" ref="AF28">-(IF(AF$2=1,Assumptions!$P29/12,-(SUMIF($D$2:$EE$2,AF$2-1,$D28:$EE28)/12)*(1+XLOOKUP(AF$2,Assumptions!$C$94:$M$94,Assumptions!$C$98:$M$98))))</f>
        <v>-2402.501453</v>
      </c>
      <c r="AG28" s="54">
        <f t="array" ref="AG28">-(IF(AG$2=1,Assumptions!$P29/12,-(SUMIF($D$2:$EE$2,AG$2-1,$D28:$EE28)/12)*(1+XLOOKUP(AG$2,Assumptions!$C$94:$M$94,Assumptions!$C$98:$M$98))))</f>
        <v>-2402.501453</v>
      </c>
      <c r="AH28" s="54">
        <f t="array" ref="AH28">-(IF(AH$2=1,Assumptions!$P29/12,-(SUMIF($D$2:$EE$2,AH$2-1,$D28:$EE28)/12)*(1+XLOOKUP(AH$2,Assumptions!$C$94:$M$94,Assumptions!$C$98:$M$98))))</f>
        <v>-2402.501453</v>
      </c>
      <c r="AI28" s="54">
        <f t="array" ref="AI28">-(IF(AI$2=1,Assumptions!$P29/12,-(SUMIF($D$2:$EE$2,AI$2-1,$D28:$EE28)/12)*(1+XLOOKUP(AI$2,Assumptions!$C$94:$M$94,Assumptions!$C$98:$M$98))))</f>
        <v>-2402.501453</v>
      </c>
      <c r="AJ28" s="54">
        <f t="array" ref="AJ28">-(IF(AJ$2=1,Assumptions!$P29/12,-(SUMIF($D$2:$EE$2,AJ$2-1,$D28:$EE28)/12)*(1+XLOOKUP(AJ$2,Assumptions!$C$94:$M$94,Assumptions!$C$98:$M$98))))</f>
        <v>-2402.501453</v>
      </c>
      <c r="AK28" s="54">
        <f t="array" ref="AK28">-(IF(AK$2=1,Assumptions!$P29/12,-(SUMIF($D$2:$EE$2,AK$2-1,$D28:$EE28)/12)*(1+XLOOKUP(AK$2,Assumptions!$C$94:$M$94,Assumptions!$C$98:$M$98))))</f>
        <v>-2402.501453</v>
      </c>
      <c r="AL28" s="54">
        <f t="array" ref="AL28">-(IF(AL$2=1,Assumptions!$P29/12,-(SUMIF($D$2:$EE$2,AL$2-1,$D28:$EE28)/12)*(1+XLOOKUP(AL$2,Assumptions!$C$94:$M$94,Assumptions!$C$98:$M$98))))</f>
        <v>-2402.501453</v>
      </c>
      <c r="AM28" s="54">
        <f t="array" ref="AM28">-(IF(AM$2=1,Assumptions!$P29/12,-(SUMIF($D$2:$EE$2,AM$2-1,$D28:$EE28)/12)*(1+XLOOKUP(AM$2,Assumptions!$C$94:$M$94,Assumptions!$C$98:$M$98))))</f>
        <v>-2402.501453</v>
      </c>
      <c r="AN28" s="54">
        <f t="array" ref="AN28">-(IF(AN$2=1,Assumptions!$P29/12,-(SUMIF($D$2:$EE$2,AN$2-1,$D28:$EE28)/12)*(1+XLOOKUP(AN$2,Assumptions!$C$94:$M$94,Assumptions!$C$98:$M$98))))</f>
        <v>-2474.576497</v>
      </c>
      <c r="AO28" s="54">
        <f t="array" ref="AO28">-(IF(AO$2=1,Assumptions!$P29/12,-(SUMIF($D$2:$EE$2,AO$2-1,$D28:$EE28)/12)*(1+XLOOKUP(AO$2,Assumptions!$C$94:$M$94,Assumptions!$C$98:$M$98))))</f>
        <v>-2474.576497</v>
      </c>
      <c r="AP28" s="54">
        <f t="array" ref="AP28">-(IF(AP$2=1,Assumptions!$P29/12,-(SUMIF($D$2:$EE$2,AP$2-1,$D28:$EE28)/12)*(1+XLOOKUP(AP$2,Assumptions!$C$94:$M$94,Assumptions!$C$98:$M$98))))</f>
        <v>-2474.576497</v>
      </c>
      <c r="AQ28" s="54">
        <f t="array" ref="AQ28">-(IF(AQ$2=1,Assumptions!$P29/12,-(SUMIF($D$2:$EE$2,AQ$2-1,$D28:$EE28)/12)*(1+XLOOKUP(AQ$2,Assumptions!$C$94:$M$94,Assumptions!$C$98:$M$98))))</f>
        <v>-2474.576497</v>
      </c>
      <c r="AR28" s="54">
        <f t="array" ref="AR28">-(IF(AR$2=1,Assumptions!$P29/12,-(SUMIF($D$2:$EE$2,AR$2-1,$D28:$EE28)/12)*(1+XLOOKUP(AR$2,Assumptions!$C$94:$M$94,Assumptions!$C$98:$M$98))))</f>
        <v>-2474.576497</v>
      </c>
      <c r="AS28" s="54">
        <f t="array" ref="AS28">-(IF(AS$2=1,Assumptions!$P29/12,-(SUMIF($D$2:$EE$2,AS$2-1,$D28:$EE28)/12)*(1+XLOOKUP(AS$2,Assumptions!$C$94:$M$94,Assumptions!$C$98:$M$98))))</f>
        <v>-2474.576497</v>
      </c>
      <c r="AT28" s="54">
        <f t="array" ref="AT28">-(IF(AT$2=1,Assumptions!$P29/12,-(SUMIF($D$2:$EE$2,AT$2-1,$D28:$EE28)/12)*(1+XLOOKUP(AT$2,Assumptions!$C$94:$M$94,Assumptions!$C$98:$M$98))))</f>
        <v>-2474.576497</v>
      </c>
      <c r="AU28" s="54">
        <f t="array" ref="AU28">-(IF(AU$2=1,Assumptions!$P29/12,-(SUMIF($D$2:$EE$2,AU$2-1,$D28:$EE28)/12)*(1+XLOOKUP(AU$2,Assumptions!$C$94:$M$94,Assumptions!$C$98:$M$98))))</f>
        <v>-2474.576497</v>
      </c>
      <c r="AV28" s="54">
        <f t="array" ref="AV28">-(IF(AV$2=1,Assumptions!$P29/12,-(SUMIF($D$2:$EE$2,AV$2-1,$D28:$EE28)/12)*(1+XLOOKUP(AV$2,Assumptions!$C$94:$M$94,Assumptions!$C$98:$M$98))))</f>
        <v>-2474.576497</v>
      </c>
      <c r="AW28" s="54">
        <f t="array" ref="AW28">-(IF(AW$2=1,Assumptions!$P29/12,-(SUMIF($D$2:$EE$2,AW$2-1,$D28:$EE28)/12)*(1+XLOOKUP(AW$2,Assumptions!$C$94:$M$94,Assumptions!$C$98:$M$98))))</f>
        <v>-2474.576497</v>
      </c>
      <c r="AX28" s="54">
        <f t="array" ref="AX28">-(IF(AX$2=1,Assumptions!$P29/12,-(SUMIF($D$2:$EE$2,AX$2-1,$D28:$EE28)/12)*(1+XLOOKUP(AX$2,Assumptions!$C$94:$M$94,Assumptions!$C$98:$M$98))))</f>
        <v>-2474.576497</v>
      </c>
      <c r="AY28" s="54">
        <f t="array" ref="AY28">-(IF(AY$2=1,Assumptions!$P29/12,-(SUMIF($D$2:$EE$2,AY$2-1,$D28:$EE28)/12)*(1+XLOOKUP(AY$2,Assumptions!$C$94:$M$94,Assumptions!$C$98:$M$98))))</f>
        <v>-2474.576497</v>
      </c>
      <c r="AZ28" s="54">
        <f t="array" ref="AZ28">-(IF(AZ$2=1,Assumptions!$P29/12,-(SUMIF($D$2:$EE$2,AZ$2-1,$D28:$EE28)/12)*(1+XLOOKUP(AZ$2,Assumptions!$C$94:$M$94,Assumptions!$C$98:$M$98))))</f>
        <v>-2548.813792</v>
      </c>
      <c r="BA28" s="54">
        <f t="array" ref="BA28">-(IF(BA$2=1,Assumptions!$P29/12,-(SUMIF($D$2:$EE$2,BA$2-1,$D28:$EE28)/12)*(1+XLOOKUP(BA$2,Assumptions!$C$94:$M$94,Assumptions!$C$98:$M$98))))</f>
        <v>-2548.813792</v>
      </c>
      <c r="BB28" s="54">
        <f t="array" ref="BB28">-(IF(BB$2=1,Assumptions!$P29/12,-(SUMIF($D$2:$EE$2,BB$2-1,$D28:$EE28)/12)*(1+XLOOKUP(BB$2,Assumptions!$C$94:$M$94,Assumptions!$C$98:$M$98))))</f>
        <v>-2548.813792</v>
      </c>
      <c r="BC28" s="54">
        <f t="array" ref="BC28">-(IF(BC$2=1,Assumptions!$P29/12,-(SUMIF($D$2:$EE$2,BC$2-1,$D28:$EE28)/12)*(1+XLOOKUP(BC$2,Assumptions!$C$94:$M$94,Assumptions!$C$98:$M$98))))</f>
        <v>-2548.813792</v>
      </c>
      <c r="BD28" s="54">
        <f t="array" ref="BD28">-(IF(BD$2=1,Assumptions!$P29/12,-(SUMIF($D$2:$EE$2,BD$2-1,$D28:$EE28)/12)*(1+XLOOKUP(BD$2,Assumptions!$C$94:$M$94,Assumptions!$C$98:$M$98))))</f>
        <v>-2548.813792</v>
      </c>
      <c r="BE28" s="54">
        <f t="array" ref="BE28">-(IF(BE$2=1,Assumptions!$P29/12,-(SUMIF($D$2:$EE$2,BE$2-1,$D28:$EE28)/12)*(1+XLOOKUP(BE$2,Assumptions!$C$94:$M$94,Assumptions!$C$98:$M$98))))</f>
        <v>-2548.813792</v>
      </c>
      <c r="BF28" s="54">
        <f t="array" ref="BF28">-(IF(BF$2=1,Assumptions!$P29/12,-(SUMIF($D$2:$EE$2,BF$2-1,$D28:$EE28)/12)*(1+XLOOKUP(BF$2,Assumptions!$C$94:$M$94,Assumptions!$C$98:$M$98))))</f>
        <v>-2548.813792</v>
      </c>
      <c r="BG28" s="54">
        <f t="array" ref="BG28">-(IF(BG$2=1,Assumptions!$P29/12,-(SUMIF($D$2:$EE$2,BG$2-1,$D28:$EE28)/12)*(1+XLOOKUP(BG$2,Assumptions!$C$94:$M$94,Assumptions!$C$98:$M$98))))</f>
        <v>-2548.813792</v>
      </c>
      <c r="BH28" s="54">
        <f t="array" ref="BH28">-(IF(BH$2=1,Assumptions!$P29/12,-(SUMIF($D$2:$EE$2,BH$2-1,$D28:$EE28)/12)*(1+XLOOKUP(BH$2,Assumptions!$C$94:$M$94,Assumptions!$C$98:$M$98))))</f>
        <v>-2548.813792</v>
      </c>
      <c r="BI28" s="54">
        <f t="array" ref="BI28">-(IF(BI$2=1,Assumptions!$P29/12,-(SUMIF($D$2:$EE$2,BI$2-1,$D28:$EE28)/12)*(1+XLOOKUP(BI$2,Assumptions!$C$94:$M$94,Assumptions!$C$98:$M$98))))</f>
        <v>-2548.813792</v>
      </c>
      <c r="BJ28" s="54">
        <f t="array" ref="BJ28">-(IF(BJ$2=1,Assumptions!$P29/12,-(SUMIF($D$2:$EE$2,BJ$2-1,$D28:$EE28)/12)*(1+XLOOKUP(BJ$2,Assumptions!$C$94:$M$94,Assumptions!$C$98:$M$98))))</f>
        <v>-2548.813792</v>
      </c>
      <c r="BK28" s="54">
        <f t="array" ref="BK28">-(IF(BK$2=1,Assumptions!$P29/12,-(SUMIF($D$2:$EE$2,BK$2-1,$D28:$EE28)/12)*(1+XLOOKUP(BK$2,Assumptions!$C$94:$M$94,Assumptions!$C$98:$M$98))))</f>
        <v>-2548.813792</v>
      </c>
      <c r="BL28" s="54">
        <f t="array" ref="BL28">-(IF(BL$2=1,Assumptions!$P29/12,-(SUMIF($D$2:$EE$2,BL$2-1,$D28:$EE28)/12)*(1+XLOOKUP(BL$2,Assumptions!$C$94:$M$94,Assumptions!$C$98:$M$98))))</f>
        <v>-2625.278206</v>
      </c>
      <c r="BM28" s="54">
        <f t="array" ref="BM28">-(IF(BM$2=1,Assumptions!$P29/12,-(SUMIF($D$2:$EE$2,BM$2-1,$D28:$EE28)/12)*(1+XLOOKUP(BM$2,Assumptions!$C$94:$M$94,Assumptions!$C$98:$M$98))))</f>
        <v>-2625.278206</v>
      </c>
      <c r="BN28" s="54">
        <f t="array" ref="BN28">-(IF(BN$2=1,Assumptions!$P29/12,-(SUMIF($D$2:$EE$2,BN$2-1,$D28:$EE28)/12)*(1+XLOOKUP(BN$2,Assumptions!$C$94:$M$94,Assumptions!$C$98:$M$98))))</f>
        <v>-2625.278206</v>
      </c>
      <c r="BO28" s="54">
        <f t="array" ref="BO28">-(IF(BO$2=1,Assumptions!$P29/12,-(SUMIF($D$2:$EE$2,BO$2-1,$D28:$EE28)/12)*(1+XLOOKUP(BO$2,Assumptions!$C$94:$M$94,Assumptions!$C$98:$M$98))))</f>
        <v>-2625.278206</v>
      </c>
      <c r="BP28" s="54">
        <f t="array" ref="BP28">-(IF(BP$2=1,Assumptions!$P29/12,-(SUMIF($D$2:$EE$2,BP$2-1,$D28:$EE28)/12)*(1+XLOOKUP(BP$2,Assumptions!$C$94:$M$94,Assumptions!$C$98:$M$98))))</f>
        <v>-2625.278206</v>
      </c>
      <c r="BQ28" s="54">
        <f t="array" ref="BQ28">-(IF(BQ$2=1,Assumptions!$P29/12,-(SUMIF($D$2:$EE$2,BQ$2-1,$D28:$EE28)/12)*(1+XLOOKUP(BQ$2,Assumptions!$C$94:$M$94,Assumptions!$C$98:$M$98))))</f>
        <v>-2625.278206</v>
      </c>
      <c r="BR28" s="54">
        <f t="array" ref="BR28">-(IF(BR$2=1,Assumptions!$P29/12,-(SUMIF($D$2:$EE$2,BR$2-1,$D28:$EE28)/12)*(1+XLOOKUP(BR$2,Assumptions!$C$94:$M$94,Assumptions!$C$98:$M$98))))</f>
        <v>-2625.278206</v>
      </c>
      <c r="BS28" s="54">
        <f t="array" ref="BS28">-(IF(BS$2=1,Assumptions!$P29/12,-(SUMIF($D$2:$EE$2,BS$2-1,$D28:$EE28)/12)*(1+XLOOKUP(BS$2,Assumptions!$C$94:$M$94,Assumptions!$C$98:$M$98))))</f>
        <v>-2625.278206</v>
      </c>
      <c r="BT28" s="54">
        <f t="array" ref="BT28">-(IF(BT$2=1,Assumptions!$P29/12,-(SUMIF($D$2:$EE$2,BT$2-1,$D28:$EE28)/12)*(1+XLOOKUP(BT$2,Assumptions!$C$94:$M$94,Assumptions!$C$98:$M$98))))</f>
        <v>-2625.278206</v>
      </c>
      <c r="BU28" s="54">
        <f t="array" ref="BU28">-(IF(BU$2=1,Assumptions!$P29/12,-(SUMIF($D$2:$EE$2,BU$2-1,$D28:$EE28)/12)*(1+XLOOKUP(BU$2,Assumptions!$C$94:$M$94,Assumptions!$C$98:$M$98))))</f>
        <v>-2625.278206</v>
      </c>
      <c r="BV28" s="54">
        <f t="array" ref="BV28">-(IF(BV$2=1,Assumptions!$P29/12,-(SUMIF($D$2:$EE$2,BV$2-1,$D28:$EE28)/12)*(1+XLOOKUP(BV$2,Assumptions!$C$94:$M$94,Assumptions!$C$98:$M$98))))</f>
        <v>-2625.278206</v>
      </c>
      <c r="BW28" s="54">
        <f t="array" ref="BW28">-(IF(BW$2=1,Assumptions!$P29/12,-(SUMIF($D$2:$EE$2,BW$2-1,$D28:$EE28)/12)*(1+XLOOKUP(BW$2,Assumptions!$C$94:$M$94,Assumptions!$C$98:$M$98))))</f>
        <v>-2625.278206</v>
      </c>
      <c r="BX28" s="54">
        <f t="array" ref="BX28">-(IF(BX$2=1,Assumptions!$P29/12,-(SUMIF($D$2:$EE$2,BX$2-1,$D28:$EE28)/12)*(1+XLOOKUP(BX$2,Assumptions!$C$94:$M$94,Assumptions!$C$98:$M$98))))</f>
        <v>-2704.036552</v>
      </c>
      <c r="BY28" s="54">
        <f t="array" ref="BY28">-(IF(BY$2=1,Assumptions!$P29/12,-(SUMIF($D$2:$EE$2,BY$2-1,$D28:$EE28)/12)*(1+XLOOKUP(BY$2,Assumptions!$C$94:$M$94,Assumptions!$C$98:$M$98))))</f>
        <v>-2704.036552</v>
      </c>
      <c r="BZ28" s="54">
        <f t="array" ref="BZ28">-(IF(BZ$2=1,Assumptions!$P29/12,-(SUMIF($D$2:$EE$2,BZ$2-1,$D28:$EE28)/12)*(1+XLOOKUP(BZ$2,Assumptions!$C$94:$M$94,Assumptions!$C$98:$M$98))))</f>
        <v>-2704.036552</v>
      </c>
      <c r="CA28" s="54">
        <f t="array" ref="CA28">-(IF(CA$2=1,Assumptions!$P29/12,-(SUMIF($D$2:$EE$2,CA$2-1,$D28:$EE28)/12)*(1+XLOOKUP(CA$2,Assumptions!$C$94:$M$94,Assumptions!$C$98:$M$98))))</f>
        <v>-2704.036552</v>
      </c>
      <c r="CB28" s="54">
        <f t="array" ref="CB28">-(IF(CB$2=1,Assumptions!$P29/12,-(SUMIF($D$2:$EE$2,CB$2-1,$D28:$EE28)/12)*(1+XLOOKUP(CB$2,Assumptions!$C$94:$M$94,Assumptions!$C$98:$M$98))))</f>
        <v>-2704.036552</v>
      </c>
      <c r="CC28" s="54">
        <f t="array" ref="CC28">-(IF(CC$2=1,Assumptions!$P29/12,-(SUMIF($D$2:$EE$2,CC$2-1,$D28:$EE28)/12)*(1+XLOOKUP(CC$2,Assumptions!$C$94:$M$94,Assumptions!$C$98:$M$98))))</f>
        <v>-2704.036552</v>
      </c>
      <c r="CD28" s="54">
        <f t="array" ref="CD28">-(IF(CD$2=1,Assumptions!$P29/12,-(SUMIF($D$2:$EE$2,CD$2-1,$D28:$EE28)/12)*(1+XLOOKUP(CD$2,Assumptions!$C$94:$M$94,Assumptions!$C$98:$M$98))))</f>
        <v>-2704.036552</v>
      </c>
      <c r="CE28" s="54">
        <f t="array" ref="CE28">-(IF(CE$2=1,Assumptions!$P29/12,-(SUMIF($D$2:$EE$2,CE$2-1,$D28:$EE28)/12)*(1+XLOOKUP(CE$2,Assumptions!$C$94:$M$94,Assumptions!$C$98:$M$98))))</f>
        <v>-2704.036552</v>
      </c>
      <c r="CF28" s="54">
        <f t="array" ref="CF28">-(IF(CF$2=1,Assumptions!$P29/12,-(SUMIF($D$2:$EE$2,CF$2-1,$D28:$EE28)/12)*(1+XLOOKUP(CF$2,Assumptions!$C$94:$M$94,Assumptions!$C$98:$M$98))))</f>
        <v>-2704.036552</v>
      </c>
      <c r="CG28" s="54">
        <f t="array" ref="CG28">-(IF(CG$2=1,Assumptions!$P29/12,-(SUMIF($D$2:$EE$2,CG$2-1,$D28:$EE28)/12)*(1+XLOOKUP(CG$2,Assumptions!$C$94:$M$94,Assumptions!$C$98:$M$98))))</f>
        <v>-2704.036552</v>
      </c>
      <c r="CH28" s="54">
        <f t="array" ref="CH28">-(IF(CH$2=1,Assumptions!$P29/12,-(SUMIF($D$2:$EE$2,CH$2-1,$D28:$EE28)/12)*(1+XLOOKUP(CH$2,Assumptions!$C$94:$M$94,Assumptions!$C$98:$M$98))))</f>
        <v>-2704.036552</v>
      </c>
      <c r="CI28" s="54">
        <f t="array" ref="CI28">-(IF(CI$2=1,Assumptions!$P29/12,-(SUMIF($D$2:$EE$2,CI$2-1,$D28:$EE28)/12)*(1+XLOOKUP(CI$2,Assumptions!$C$94:$M$94,Assumptions!$C$98:$M$98))))</f>
        <v>-2704.036552</v>
      </c>
      <c r="CJ28" s="54">
        <f t="array" ref="CJ28">-(IF(CJ$2=1,Assumptions!$P29/12,-(SUMIF($D$2:$EE$2,CJ$2-1,$D28:$EE28)/12)*(1+XLOOKUP(CJ$2,Assumptions!$C$94:$M$94,Assumptions!$C$98:$M$98))))</f>
        <v>-2785.157648</v>
      </c>
      <c r="CK28" s="54">
        <f t="array" ref="CK28">-(IF(CK$2=1,Assumptions!$P29/12,-(SUMIF($D$2:$EE$2,CK$2-1,$D28:$EE28)/12)*(1+XLOOKUP(CK$2,Assumptions!$C$94:$M$94,Assumptions!$C$98:$M$98))))</f>
        <v>-2785.157648</v>
      </c>
      <c r="CL28" s="54">
        <f t="array" ref="CL28">-(IF(CL$2=1,Assumptions!$P29/12,-(SUMIF($D$2:$EE$2,CL$2-1,$D28:$EE28)/12)*(1+XLOOKUP(CL$2,Assumptions!$C$94:$M$94,Assumptions!$C$98:$M$98))))</f>
        <v>-2785.157648</v>
      </c>
      <c r="CM28" s="54">
        <f t="array" ref="CM28">-(IF(CM$2=1,Assumptions!$P29/12,-(SUMIF($D$2:$EE$2,CM$2-1,$D28:$EE28)/12)*(1+XLOOKUP(CM$2,Assumptions!$C$94:$M$94,Assumptions!$C$98:$M$98))))</f>
        <v>-2785.157648</v>
      </c>
      <c r="CN28" s="54">
        <f t="array" ref="CN28">-(IF(CN$2=1,Assumptions!$P29/12,-(SUMIF($D$2:$EE$2,CN$2-1,$D28:$EE28)/12)*(1+XLOOKUP(CN$2,Assumptions!$C$94:$M$94,Assumptions!$C$98:$M$98))))</f>
        <v>-2785.157648</v>
      </c>
      <c r="CO28" s="54">
        <f t="array" ref="CO28">-(IF(CO$2=1,Assumptions!$P29/12,-(SUMIF($D$2:$EE$2,CO$2-1,$D28:$EE28)/12)*(1+XLOOKUP(CO$2,Assumptions!$C$94:$M$94,Assumptions!$C$98:$M$98))))</f>
        <v>-2785.157648</v>
      </c>
      <c r="CP28" s="54">
        <f t="array" ref="CP28">-(IF(CP$2=1,Assumptions!$P29/12,-(SUMIF($D$2:$EE$2,CP$2-1,$D28:$EE28)/12)*(1+XLOOKUP(CP$2,Assumptions!$C$94:$M$94,Assumptions!$C$98:$M$98))))</f>
        <v>-2785.157648</v>
      </c>
      <c r="CQ28" s="54">
        <f t="array" ref="CQ28">-(IF(CQ$2=1,Assumptions!$P29/12,-(SUMIF($D$2:$EE$2,CQ$2-1,$D28:$EE28)/12)*(1+XLOOKUP(CQ$2,Assumptions!$C$94:$M$94,Assumptions!$C$98:$M$98))))</f>
        <v>-2785.157648</v>
      </c>
      <c r="CR28" s="54">
        <f t="array" ref="CR28">-(IF(CR$2=1,Assumptions!$P29/12,-(SUMIF($D$2:$EE$2,CR$2-1,$D28:$EE28)/12)*(1+XLOOKUP(CR$2,Assumptions!$C$94:$M$94,Assumptions!$C$98:$M$98))))</f>
        <v>-2785.157648</v>
      </c>
      <c r="CS28" s="54">
        <f t="array" ref="CS28">-(IF(CS$2=1,Assumptions!$P29/12,-(SUMIF($D$2:$EE$2,CS$2-1,$D28:$EE28)/12)*(1+XLOOKUP(CS$2,Assumptions!$C$94:$M$94,Assumptions!$C$98:$M$98))))</f>
        <v>-2785.157648</v>
      </c>
      <c r="CT28" s="54">
        <f t="array" ref="CT28">-(IF(CT$2=1,Assumptions!$P29/12,-(SUMIF($D$2:$EE$2,CT$2-1,$D28:$EE28)/12)*(1+XLOOKUP(CT$2,Assumptions!$C$94:$M$94,Assumptions!$C$98:$M$98))))</f>
        <v>-2785.157648</v>
      </c>
      <c r="CU28" s="54">
        <f t="array" ref="CU28">-(IF(CU$2=1,Assumptions!$P29/12,-(SUMIF($D$2:$EE$2,CU$2-1,$D28:$EE28)/12)*(1+XLOOKUP(CU$2,Assumptions!$C$94:$M$94,Assumptions!$C$98:$M$98))))</f>
        <v>-2785.157648</v>
      </c>
      <c r="CV28" s="54">
        <f t="array" ref="CV28">-(IF(CV$2=1,Assumptions!$P29/12,-(SUMIF($D$2:$EE$2,CV$2-1,$D28:$EE28)/12)*(1+XLOOKUP(CV$2,Assumptions!$C$94:$M$94,Assumptions!$C$98:$M$98))))</f>
        <v>-2868.712378</v>
      </c>
      <c r="CW28" s="54">
        <f t="array" ref="CW28">-(IF(CW$2=1,Assumptions!$P29/12,-(SUMIF($D$2:$EE$2,CW$2-1,$D28:$EE28)/12)*(1+XLOOKUP(CW$2,Assumptions!$C$94:$M$94,Assumptions!$C$98:$M$98))))</f>
        <v>-2868.712378</v>
      </c>
      <c r="CX28" s="54">
        <f t="array" ref="CX28">-(IF(CX$2=1,Assumptions!$P29/12,-(SUMIF($D$2:$EE$2,CX$2-1,$D28:$EE28)/12)*(1+XLOOKUP(CX$2,Assumptions!$C$94:$M$94,Assumptions!$C$98:$M$98))))</f>
        <v>-2868.712378</v>
      </c>
      <c r="CY28" s="54">
        <f t="array" ref="CY28">-(IF(CY$2=1,Assumptions!$P29/12,-(SUMIF($D$2:$EE$2,CY$2-1,$D28:$EE28)/12)*(1+XLOOKUP(CY$2,Assumptions!$C$94:$M$94,Assumptions!$C$98:$M$98))))</f>
        <v>-2868.712378</v>
      </c>
      <c r="CZ28" s="54">
        <f t="array" ref="CZ28">-(IF(CZ$2=1,Assumptions!$P29/12,-(SUMIF($D$2:$EE$2,CZ$2-1,$D28:$EE28)/12)*(1+XLOOKUP(CZ$2,Assumptions!$C$94:$M$94,Assumptions!$C$98:$M$98))))</f>
        <v>-2868.712378</v>
      </c>
      <c r="DA28" s="54">
        <f t="array" ref="DA28">-(IF(DA$2=1,Assumptions!$P29/12,-(SUMIF($D$2:$EE$2,DA$2-1,$D28:$EE28)/12)*(1+XLOOKUP(DA$2,Assumptions!$C$94:$M$94,Assumptions!$C$98:$M$98))))</f>
        <v>-2868.712378</v>
      </c>
      <c r="DB28" s="54">
        <f t="array" ref="DB28">-(IF(DB$2=1,Assumptions!$P29/12,-(SUMIF($D$2:$EE$2,DB$2-1,$D28:$EE28)/12)*(1+XLOOKUP(DB$2,Assumptions!$C$94:$M$94,Assumptions!$C$98:$M$98))))</f>
        <v>-2868.712378</v>
      </c>
      <c r="DC28" s="54">
        <f t="array" ref="DC28">-(IF(DC$2=1,Assumptions!$P29/12,-(SUMIF($D$2:$EE$2,DC$2-1,$D28:$EE28)/12)*(1+XLOOKUP(DC$2,Assumptions!$C$94:$M$94,Assumptions!$C$98:$M$98))))</f>
        <v>-2868.712378</v>
      </c>
      <c r="DD28" s="54">
        <f t="array" ref="DD28">-(IF(DD$2=1,Assumptions!$P29/12,-(SUMIF($D$2:$EE$2,DD$2-1,$D28:$EE28)/12)*(1+XLOOKUP(DD$2,Assumptions!$C$94:$M$94,Assumptions!$C$98:$M$98))))</f>
        <v>-2868.712378</v>
      </c>
      <c r="DE28" s="54">
        <f t="array" ref="DE28">-(IF(DE$2=1,Assumptions!$P29/12,-(SUMIF($D$2:$EE$2,DE$2-1,$D28:$EE28)/12)*(1+XLOOKUP(DE$2,Assumptions!$C$94:$M$94,Assumptions!$C$98:$M$98))))</f>
        <v>-2868.712378</v>
      </c>
      <c r="DF28" s="54">
        <f t="array" ref="DF28">-(IF(DF$2=1,Assumptions!$P29/12,-(SUMIF($D$2:$EE$2,DF$2-1,$D28:$EE28)/12)*(1+XLOOKUP(DF$2,Assumptions!$C$94:$M$94,Assumptions!$C$98:$M$98))))</f>
        <v>-2868.712378</v>
      </c>
      <c r="DG28" s="54">
        <f t="array" ref="DG28">-(IF(DG$2=1,Assumptions!$P29/12,-(SUMIF($D$2:$EE$2,DG$2-1,$D28:$EE28)/12)*(1+XLOOKUP(DG$2,Assumptions!$C$94:$M$94,Assumptions!$C$98:$M$98))))</f>
        <v>-2868.712378</v>
      </c>
      <c r="DH28" s="54">
        <f t="array" ref="DH28">-(IF(DH$2=1,Assumptions!$P29/12,-(SUMIF($D$2:$EE$2,DH$2-1,$D28:$EE28)/12)*(1+XLOOKUP(DH$2,Assumptions!$C$94:$M$94,Assumptions!$C$98:$M$98))))</f>
        <v>-2954.773749</v>
      </c>
      <c r="DI28" s="54">
        <f t="array" ref="DI28">-(IF(DI$2=1,Assumptions!$P29/12,-(SUMIF($D$2:$EE$2,DI$2-1,$D28:$EE28)/12)*(1+XLOOKUP(DI$2,Assumptions!$C$94:$M$94,Assumptions!$C$98:$M$98))))</f>
        <v>-2954.773749</v>
      </c>
      <c r="DJ28" s="54">
        <f t="array" ref="DJ28">-(IF(DJ$2=1,Assumptions!$P29/12,-(SUMIF($D$2:$EE$2,DJ$2-1,$D28:$EE28)/12)*(1+XLOOKUP(DJ$2,Assumptions!$C$94:$M$94,Assumptions!$C$98:$M$98))))</f>
        <v>-2954.773749</v>
      </c>
      <c r="DK28" s="54">
        <f t="array" ref="DK28">-(IF(DK$2=1,Assumptions!$P29/12,-(SUMIF($D$2:$EE$2,DK$2-1,$D28:$EE28)/12)*(1+XLOOKUP(DK$2,Assumptions!$C$94:$M$94,Assumptions!$C$98:$M$98))))</f>
        <v>-2954.773749</v>
      </c>
      <c r="DL28" s="54">
        <f t="array" ref="DL28">-(IF(DL$2=1,Assumptions!$P29/12,-(SUMIF($D$2:$EE$2,DL$2-1,$D28:$EE28)/12)*(1+XLOOKUP(DL$2,Assumptions!$C$94:$M$94,Assumptions!$C$98:$M$98))))</f>
        <v>-2954.773749</v>
      </c>
      <c r="DM28" s="54">
        <f t="array" ref="DM28">-(IF(DM$2=1,Assumptions!$P29/12,-(SUMIF($D$2:$EE$2,DM$2-1,$D28:$EE28)/12)*(1+XLOOKUP(DM$2,Assumptions!$C$94:$M$94,Assumptions!$C$98:$M$98))))</f>
        <v>-2954.773749</v>
      </c>
      <c r="DN28" s="54">
        <f t="array" ref="DN28">-(IF(DN$2=1,Assumptions!$P29/12,-(SUMIF($D$2:$EE$2,DN$2-1,$D28:$EE28)/12)*(1+XLOOKUP(DN$2,Assumptions!$C$94:$M$94,Assumptions!$C$98:$M$98))))</f>
        <v>-2954.773749</v>
      </c>
      <c r="DO28" s="54">
        <f t="array" ref="DO28">-(IF(DO$2=1,Assumptions!$P29/12,-(SUMIF($D$2:$EE$2,DO$2-1,$D28:$EE28)/12)*(1+XLOOKUP(DO$2,Assumptions!$C$94:$M$94,Assumptions!$C$98:$M$98))))</f>
        <v>-2954.773749</v>
      </c>
      <c r="DP28" s="54">
        <f t="array" ref="DP28">-(IF(DP$2=1,Assumptions!$P29/12,-(SUMIF($D$2:$EE$2,DP$2-1,$D28:$EE28)/12)*(1+XLOOKUP(DP$2,Assumptions!$C$94:$M$94,Assumptions!$C$98:$M$98))))</f>
        <v>-2954.773749</v>
      </c>
      <c r="DQ28" s="54">
        <f t="array" ref="DQ28">-(IF(DQ$2=1,Assumptions!$P29/12,-(SUMIF($D$2:$EE$2,DQ$2-1,$D28:$EE28)/12)*(1+XLOOKUP(DQ$2,Assumptions!$C$94:$M$94,Assumptions!$C$98:$M$98))))</f>
        <v>-2954.773749</v>
      </c>
      <c r="DR28" s="54">
        <f t="array" ref="DR28">-(IF(DR$2=1,Assumptions!$P29/12,-(SUMIF($D$2:$EE$2,DR$2-1,$D28:$EE28)/12)*(1+XLOOKUP(DR$2,Assumptions!$C$94:$M$94,Assumptions!$C$98:$M$98))))</f>
        <v>-2954.773749</v>
      </c>
      <c r="DS28" s="54">
        <f t="array" ref="DS28">-(IF(DS$2=1,Assumptions!$P29/12,-(SUMIF($D$2:$EE$2,DS$2-1,$D28:$EE28)/12)*(1+XLOOKUP(DS$2,Assumptions!$C$94:$M$94,Assumptions!$C$98:$M$98))))</f>
        <v>-2954.773749</v>
      </c>
      <c r="DT28" s="54">
        <f t="array" ref="DT28">-(IF(DT$2=1,Assumptions!$P29/12,-(SUMIF($D$2:$EE$2,DT$2-1,$D28:$EE28)/12)*(1+XLOOKUP(DT$2,Assumptions!$C$94:$M$94,Assumptions!$C$98:$M$98))))</f>
        <v>-3043.416962</v>
      </c>
      <c r="DU28" s="54">
        <f t="array" ref="DU28">-(IF(DU$2=1,Assumptions!$P29/12,-(SUMIF($D$2:$EE$2,DU$2-1,$D28:$EE28)/12)*(1+XLOOKUP(DU$2,Assumptions!$C$94:$M$94,Assumptions!$C$98:$M$98))))</f>
        <v>-3043.416962</v>
      </c>
      <c r="DV28" s="54">
        <f t="array" ref="DV28">-(IF(DV$2=1,Assumptions!$P29/12,-(SUMIF($D$2:$EE$2,DV$2-1,$D28:$EE28)/12)*(1+XLOOKUP(DV$2,Assumptions!$C$94:$M$94,Assumptions!$C$98:$M$98))))</f>
        <v>-3043.416962</v>
      </c>
      <c r="DW28" s="54">
        <f t="array" ref="DW28">-(IF(DW$2=1,Assumptions!$P29/12,-(SUMIF($D$2:$EE$2,DW$2-1,$D28:$EE28)/12)*(1+XLOOKUP(DW$2,Assumptions!$C$94:$M$94,Assumptions!$C$98:$M$98))))</f>
        <v>-3043.416962</v>
      </c>
      <c r="DX28" s="54">
        <f t="array" ref="DX28">-(IF(DX$2=1,Assumptions!$P29/12,-(SUMIF($D$2:$EE$2,DX$2-1,$D28:$EE28)/12)*(1+XLOOKUP(DX$2,Assumptions!$C$94:$M$94,Assumptions!$C$98:$M$98))))</f>
        <v>-3043.416962</v>
      </c>
      <c r="DY28" s="54">
        <f t="array" ref="DY28">-(IF(DY$2=1,Assumptions!$P29/12,-(SUMIF($D$2:$EE$2,DY$2-1,$D28:$EE28)/12)*(1+XLOOKUP(DY$2,Assumptions!$C$94:$M$94,Assumptions!$C$98:$M$98))))</f>
        <v>-3043.416962</v>
      </c>
      <c r="DZ28" s="54">
        <f t="array" ref="DZ28">-(IF(DZ$2=1,Assumptions!$P29/12,-(SUMIF($D$2:$EE$2,DZ$2-1,$D28:$EE28)/12)*(1+XLOOKUP(DZ$2,Assumptions!$C$94:$M$94,Assumptions!$C$98:$M$98))))</f>
        <v>-3043.416962</v>
      </c>
      <c r="EA28" s="54">
        <f t="array" ref="EA28">-(IF(EA$2=1,Assumptions!$P29/12,-(SUMIF($D$2:$EE$2,EA$2-1,$D28:$EE28)/12)*(1+XLOOKUP(EA$2,Assumptions!$C$94:$M$94,Assumptions!$C$98:$M$98))))</f>
        <v>-3043.416962</v>
      </c>
      <c r="EB28" s="54">
        <f t="array" ref="EB28">-(IF(EB$2=1,Assumptions!$P29/12,-(SUMIF($D$2:$EE$2,EB$2-1,$D28:$EE28)/12)*(1+XLOOKUP(EB$2,Assumptions!$C$94:$M$94,Assumptions!$C$98:$M$98))))</f>
        <v>-3043.416962</v>
      </c>
      <c r="EC28" s="54">
        <f t="array" ref="EC28">-(IF(EC$2=1,Assumptions!$P29/12,-(SUMIF($D$2:$EE$2,EC$2-1,$D28:$EE28)/12)*(1+XLOOKUP(EC$2,Assumptions!$C$94:$M$94,Assumptions!$C$98:$M$98))))</f>
        <v>-3043.416962</v>
      </c>
      <c r="ED28" s="54">
        <f t="array" ref="ED28">-(IF(ED$2=1,Assumptions!$P29/12,-(SUMIF($D$2:$EE$2,ED$2-1,$D28:$EE28)/12)*(1+XLOOKUP(ED$2,Assumptions!$C$94:$M$94,Assumptions!$C$98:$M$98))))</f>
        <v>-3043.416962</v>
      </c>
      <c r="EE28" s="54">
        <f t="array" ref="EE28">-(IF(EE$2=1,Assumptions!$P29/12,-(SUMIF($D$2:$EE$2,EE$2-1,$D28:$EE28)/12)*(1+XLOOKUP(EE$2,Assumptions!$C$94:$M$94,Assumptions!$C$98:$M$98))))</f>
        <v>-3043.416962</v>
      </c>
    </row>
    <row r="29" ht="15.75" customHeight="1">
      <c r="A29" s="1"/>
      <c r="B29" s="1"/>
      <c r="C29" s="1" t="str">
        <f>Assumptions!J30</f>
        <v>Management Fee</v>
      </c>
      <c r="D29" s="54">
        <f>-D$18*Assumptions!$N$30</f>
        <v>-5126.019179</v>
      </c>
      <c r="E29" s="54">
        <f>-E$18*Assumptions!$N$30</f>
        <v>-5126.019179</v>
      </c>
      <c r="F29" s="54">
        <f>-F$18*Assumptions!$N$30</f>
        <v>-5126.019179</v>
      </c>
      <c r="G29" s="54">
        <f>-G$18*Assumptions!$N$30</f>
        <v>-5126.019179</v>
      </c>
      <c r="H29" s="54">
        <f>-H$18*Assumptions!$N$30</f>
        <v>-5126.019179</v>
      </c>
      <c r="I29" s="54">
        <f>-I$18*Assumptions!$N$30</f>
        <v>-5126.019179</v>
      </c>
      <c r="J29" s="54">
        <f>-J$18*Assumptions!$N$30</f>
        <v>-5126.019179</v>
      </c>
      <c r="K29" s="54">
        <f>-K$18*Assumptions!$N$30</f>
        <v>-5126.019179</v>
      </c>
      <c r="L29" s="54">
        <f>-L$18*Assumptions!$N$30</f>
        <v>-5126.019179</v>
      </c>
      <c r="M29" s="54">
        <f>-M$18*Assumptions!$N$30</f>
        <v>-5126.019179</v>
      </c>
      <c r="N29" s="54">
        <f>-N$18*Assumptions!$N$30</f>
        <v>-5126.019179</v>
      </c>
      <c r="O29" s="54">
        <f>-O$18*Assumptions!$N$30</f>
        <v>-5126.019179</v>
      </c>
      <c r="P29" s="54">
        <f>-P$18*Assumptions!$N$30</f>
        <v>-5450.115876</v>
      </c>
      <c r="Q29" s="54">
        <f>-Q$18*Assumptions!$N$30</f>
        <v>-5450.115876</v>
      </c>
      <c r="R29" s="54">
        <f>-R$18*Assumptions!$N$30</f>
        <v>-5450.115876</v>
      </c>
      <c r="S29" s="54">
        <f>-S$18*Assumptions!$N$30</f>
        <v>-5450.115876</v>
      </c>
      <c r="T29" s="54">
        <f>-T$18*Assumptions!$N$30</f>
        <v>-5450.115876</v>
      </c>
      <c r="U29" s="54">
        <f>-U$18*Assumptions!$N$30</f>
        <v>-5450.115876</v>
      </c>
      <c r="V29" s="54">
        <f>-V$18*Assumptions!$N$30</f>
        <v>-5450.115876</v>
      </c>
      <c r="W29" s="54">
        <f>-W$18*Assumptions!$N$30</f>
        <v>-5450.115876</v>
      </c>
      <c r="X29" s="54">
        <f>-X$18*Assumptions!$N$30</f>
        <v>-5450.115876</v>
      </c>
      <c r="Y29" s="54">
        <f>-Y$18*Assumptions!$N$30</f>
        <v>-5450.115876</v>
      </c>
      <c r="Z29" s="54">
        <f>-Z$18*Assumptions!$N$30</f>
        <v>-5450.115876</v>
      </c>
      <c r="AA29" s="54">
        <f>-AA$18*Assumptions!$N$30</f>
        <v>-5450.115876</v>
      </c>
      <c r="AB29" s="54">
        <f>-AB$18*Assumptions!$N$30</f>
        <v>-5613.619352</v>
      </c>
      <c r="AC29" s="54">
        <f>-AC$18*Assumptions!$N$30</f>
        <v>-5613.619352</v>
      </c>
      <c r="AD29" s="54">
        <f>-AD$18*Assumptions!$N$30</f>
        <v>-5613.619352</v>
      </c>
      <c r="AE29" s="54">
        <f>-AE$18*Assumptions!$N$30</f>
        <v>-5613.619352</v>
      </c>
      <c r="AF29" s="54">
        <f>-AF$18*Assumptions!$N$30</f>
        <v>-5613.619352</v>
      </c>
      <c r="AG29" s="54">
        <f>-AG$18*Assumptions!$N$30</f>
        <v>-5613.619352</v>
      </c>
      <c r="AH29" s="54">
        <f>-AH$18*Assumptions!$N$30</f>
        <v>-5613.619352</v>
      </c>
      <c r="AI29" s="54">
        <f>-AI$18*Assumptions!$N$30</f>
        <v>-5613.619352</v>
      </c>
      <c r="AJ29" s="54">
        <f>-AJ$18*Assumptions!$N$30</f>
        <v>-5613.619352</v>
      </c>
      <c r="AK29" s="54">
        <f>-AK$18*Assumptions!$N$30</f>
        <v>-5613.619352</v>
      </c>
      <c r="AL29" s="54">
        <f>-AL$18*Assumptions!$N$30</f>
        <v>-5613.619352</v>
      </c>
      <c r="AM29" s="54">
        <f>-AM$18*Assumptions!$N$30</f>
        <v>-5613.619352</v>
      </c>
      <c r="AN29" s="54">
        <f>-AN$18*Assumptions!$N$30</f>
        <v>-5782.027933</v>
      </c>
      <c r="AO29" s="54">
        <f>-AO$18*Assumptions!$N$30</f>
        <v>-5782.027933</v>
      </c>
      <c r="AP29" s="54">
        <f>-AP$18*Assumptions!$N$30</f>
        <v>-5782.027933</v>
      </c>
      <c r="AQ29" s="54">
        <f>-AQ$18*Assumptions!$N$30</f>
        <v>-5782.027933</v>
      </c>
      <c r="AR29" s="54">
        <f>-AR$18*Assumptions!$N$30</f>
        <v>-5782.027933</v>
      </c>
      <c r="AS29" s="54">
        <f>-AS$18*Assumptions!$N$30</f>
        <v>-5782.027933</v>
      </c>
      <c r="AT29" s="54">
        <f>-AT$18*Assumptions!$N$30</f>
        <v>-5782.027933</v>
      </c>
      <c r="AU29" s="54">
        <f>-AU$18*Assumptions!$N$30</f>
        <v>-5782.027933</v>
      </c>
      <c r="AV29" s="54">
        <f>-AV$18*Assumptions!$N$30</f>
        <v>-5782.027933</v>
      </c>
      <c r="AW29" s="54">
        <f>-AW$18*Assumptions!$N$30</f>
        <v>-5782.027933</v>
      </c>
      <c r="AX29" s="54">
        <f>-AX$18*Assumptions!$N$30</f>
        <v>-5782.027933</v>
      </c>
      <c r="AY29" s="54">
        <f>-AY$18*Assumptions!$N$30</f>
        <v>-5782.027933</v>
      </c>
      <c r="AZ29" s="54">
        <f>-AZ$18*Assumptions!$N$30</f>
        <v>-5955.488771</v>
      </c>
      <c r="BA29" s="54">
        <f>-BA$18*Assumptions!$N$30</f>
        <v>-5955.488771</v>
      </c>
      <c r="BB29" s="54">
        <f>-BB$18*Assumptions!$N$30</f>
        <v>-5955.488771</v>
      </c>
      <c r="BC29" s="54">
        <f>-BC$18*Assumptions!$N$30</f>
        <v>-5955.488771</v>
      </c>
      <c r="BD29" s="54">
        <f>-BD$18*Assumptions!$N$30</f>
        <v>-5955.488771</v>
      </c>
      <c r="BE29" s="54">
        <f>-BE$18*Assumptions!$N$30</f>
        <v>-5955.488771</v>
      </c>
      <c r="BF29" s="54">
        <f>-BF$18*Assumptions!$N$30</f>
        <v>-5955.488771</v>
      </c>
      <c r="BG29" s="54">
        <f>-BG$18*Assumptions!$N$30</f>
        <v>-5955.488771</v>
      </c>
      <c r="BH29" s="54">
        <f>-BH$18*Assumptions!$N$30</f>
        <v>-5955.488771</v>
      </c>
      <c r="BI29" s="54">
        <f>-BI$18*Assumptions!$N$30</f>
        <v>-5955.488771</v>
      </c>
      <c r="BJ29" s="54">
        <f>-BJ$18*Assumptions!$N$30</f>
        <v>-5955.488771</v>
      </c>
      <c r="BK29" s="54">
        <f>-BK$18*Assumptions!$N$30</f>
        <v>-5955.488771</v>
      </c>
      <c r="BL29" s="54">
        <f>-BL$18*Assumptions!$N$30</f>
        <v>-6134.153434</v>
      </c>
      <c r="BM29" s="54">
        <f>-BM$18*Assumptions!$N$30</f>
        <v>-6134.153434</v>
      </c>
      <c r="BN29" s="54">
        <f>-BN$18*Assumptions!$N$30</f>
        <v>-6134.153434</v>
      </c>
      <c r="BO29" s="54">
        <f>-BO$18*Assumptions!$N$30</f>
        <v>-6134.153434</v>
      </c>
      <c r="BP29" s="54">
        <f>-BP$18*Assumptions!$N$30</f>
        <v>-6134.153434</v>
      </c>
      <c r="BQ29" s="54">
        <f>-BQ$18*Assumptions!$N$30</f>
        <v>-6134.153434</v>
      </c>
      <c r="BR29" s="54">
        <f>-BR$18*Assumptions!$N$30</f>
        <v>-6134.153434</v>
      </c>
      <c r="BS29" s="54">
        <f>-BS$18*Assumptions!$N$30</f>
        <v>-6134.153434</v>
      </c>
      <c r="BT29" s="54">
        <f>-BT$18*Assumptions!$N$30</f>
        <v>-6134.153434</v>
      </c>
      <c r="BU29" s="54">
        <f>-BU$18*Assumptions!$N$30</f>
        <v>-6134.153434</v>
      </c>
      <c r="BV29" s="54">
        <f>-BV$18*Assumptions!$N$30</f>
        <v>-6134.153434</v>
      </c>
      <c r="BW29" s="54">
        <f>-BW$18*Assumptions!$N$30</f>
        <v>-6134.153434</v>
      </c>
      <c r="BX29" s="54">
        <f>-BX$18*Assumptions!$N$30</f>
        <v>-6318.178037</v>
      </c>
      <c r="BY29" s="54">
        <f>-BY$18*Assumptions!$N$30</f>
        <v>-6318.178037</v>
      </c>
      <c r="BZ29" s="54">
        <f>-BZ$18*Assumptions!$N$30</f>
        <v>-6318.178037</v>
      </c>
      <c r="CA29" s="54">
        <f>-CA$18*Assumptions!$N$30</f>
        <v>-6318.178037</v>
      </c>
      <c r="CB29" s="54">
        <f>-CB$18*Assumptions!$N$30</f>
        <v>-6318.178037</v>
      </c>
      <c r="CC29" s="54">
        <f>-CC$18*Assumptions!$N$30</f>
        <v>-6318.178037</v>
      </c>
      <c r="CD29" s="54">
        <f>-CD$18*Assumptions!$N$30</f>
        <v>-6318.178037</v>
      </c>
      <c r="CE29" s="54">
        <f>-CE$18*Assumptions!$N$30</f>
        <v>-6318.178037</v>
      </c>
      <c r="CF29" s="54">
        <f>-CF$18*Assumptions!$N$30</f>
        <v>-6318.178037</v>
      </c>
      <c r="CG29" s="54">
        <f>-CG$18*Assumptions!$N$30</f>
        <v>-6318.178037</v>
      </c>
      <c r="CH29" s="54">
        <f>-CH$18*Assumptions!$N$30</f>
        <v>-6318.178037</v>
      </c>
      <c r="CI29" s="54">
        <f>-CI$18*Assumptions!$N$30</f>
        <v>-6318.178037</v>
      </c>
      <c r="CJ29" s="54">
        <f>-CJ$18*Assumptions!$N$30</f>
        <v>-6507.723378</v>
      </c>
      <c r="CK29" s="54">
        <f>-CK$18*Assumptions!$N$30</f>
        <v>-6507.723378</v>
      </c>
      <c r="CL29" s="54">
        <f>-CL$18*Assumptions!$N$30</f>
        <v>-6507.723378</v>
      </c>
      <c r="CM29" s="54">
        <f>-CM$18*Assumptions!$N$30</f>
        <v>-6507.723378</v>
      </c>
      <c r="CN29" s="54">
        <f>-CN$18*Assumptions!$N$30</f>
        <v>-6507.723378</v>
      </c>
      <c r="CO29" s="54">
        <f>-CO$18*Assumptions!$N$30</f>
        <v>-6507.723378</v>
      </c>
      <c r="CP29" s="54">
        <f>-CP$18*Assumptions!$N$30</f>
        <v>-6507.723378</v>
      </c>
      <c r="CQ29" s="54">
        <f>-CQ$18*Assumptions!$N$30</f>
        <v>-6507.723378</v>
      </c>
      <c r="CR29" s="54">
        <f>-CR$18*Assumptions!$N$30</f>
        <v>-6507.723378</v>
      </c>
      <c r="CS29" s="54">
        <f>-CS$18*Assumptions!$N$30</f>
        <v>-6507.723378</v>
      </c>
      <c r="CT29" s="54">
        <f>-CT$18*Assumptions!$N$30</f>
        <v>-6507.723378</v>
      </c>
      <c r="CU29" s="54">
        <f>-CU$18*Assumptions!$N$30</f>
        <v>-6507.723378</v>
      </c>
      <c r="CV29" s="54">
        <f>-CV$18*Assumptions!$N$30</f>
        <v>-6702.955079</v>
      </c>
      <c r="CW29" s="54">
        <f>-CW$18*Assumptions!$N$30</f>
        <v>-6702.955079</v>
      </c>
      <c r="CX29" s="54">
        <f>-CX$18*Assumptions!$N$30</f>
        <v>-6702.955079</v>
      </c>
      <c r="CY29" s="54">
        <f>-CY$18*Assumptions!$N$30</f>
        <v>-6702.955079</v>
      </c>
      <c r="CZ29" s="54">
        <f>-CZ$18*Assumptions!$N$30</f>
        <v>-6702.955079</v>
      </c>
      <c r="DA29" s="54">
        <f>-DA$18*Assumptions!$N$30</f>
        <v>-6702.955079</v>
      </c>
      <c r="DB29" s="54">
        <f>-DB$18*Assumptions!$N$30</f>
        <v>-6702.955079</v>
      </c>
      <c r="DC29" s="54">
        <f>-DC$18*Assumptions!$N$30</f>
        <v>-6702.955079</v>
      </c>
      <c r="DD29" s="54">
        <f>-DD$18*Assumptions!$N$30</f>
        <v>-6702.955079</v>
      </c>
      <c r="DE29" s="54">
        <f>-DE$18*Assumptions!$N$30</f>
        <v>-6702.955079</v>
      </c>
      <c r="DF29" s="54">
        <f>-DF$18*Assumptions!$N$30</f>
        <v>-6702.955079</v>
      </c>
      <c r="DG29" s="54">
        <f>-DG$18*Assumptions!$N$30</f>
        <v>-6702.955079</v>
      </c>
      <c r="DH29" s="54">
        <f>-DH$18*Assumptions!$N$30</f>
        <v>-6904.043732</v>
      </c>
      <c r="DI29" s="54">
        <f>-DI$18*Assumptions!$N$30</f>
        <v>-6904.043732</v>
      </c>
      <c r="DJ29" s="54">
        <f>-DJ$18*Assumptions!$N$30</f>
        <v>-6904.043732</v>
      </c>
      <c r="DK29" s="54">
        <f>-DK$18*Assumptions!$N$30</f>
        <v>-6904.043732</v>
      </c>
      <c r="DL29" s="54">
        <f>-DL$18*Assumptions!$N$30</f>
        <v>-6904.043732</v>
      </c>
      <c r="DM29" s="54">
        <f>-DM$18*Assumptions!$N$30</f>
        <v>-6904.043732</v>
      </c>
      <c r="DN29" s="54">
        <f>-DN$18*Assumptions!$N$30</f>
        <v>-6904.043732</v>
      </c>
      <c r="DO29" s="54">
        <f>-DO$18*Assumptions!$N$30</f>
        <v>-6904.043732</v>
      </c>
      <c r="DP29" s="54">
        <f>-DP$18*Assumptions!$N$30</f>
        <v>-6904.043732</v>
      </c>
      <c r="DQ29" s="54">
        <f>-DQ$18*Assumptions!$N$30</f>
        <v>-6904.043732</v>
      </c>
      <c r="DR29" s="54">
        <f>-DR$18*Assumptions!$N$30</f>
        <v>-6904.043732</v>
      </c>
      <c r="DS29" s="54">
        <f>-DS$18*Assumptions!$N$30</f>
        <v>-6904.043732</v>
      </c>
      <c r="DT29" s="54">
        <f>-DT$18*Assumptions!$N$30</f>
        <v>-6888.941136</v>
      </c>
      <c r="DU29" s="54">
        <f>-DU$18*Assumptions!$N$30</f>
        <v>-6888.941136</v>
      </c>
      <c r="DV29" s="54">
        <f>-DV$18*Assumptions!$N$30</f>
        <v>-6888.941136</v>
      </c>
      <c r="DW29" s="54">
        <f>-DW$18*Assumptions!$N$30</f>
        <v>-6888.941136</v>
      </c>
      <c r="DX29" s="54">
        <f>-DX$18*Assumptions!$N$30</f>
        <v>-6888.941136</v>
      </c>
      <c r="DY29" s="54">
        <f>-DY$18*Assumptions!$N$30</f>
        <v>-6888.941136</v>
      </c>
      <c r="DZ29" s="54">
        <f>-DZ$18*Assumptions!$N$30</f>
        <v>-6888.941136</v>
      </c>
      <c r="EA29" s="54">
        <f>-EA$18*Assumptions!$N$30</f>
        <v>-6888.941136</v>
      </c>
      <c r="EB29" s="54">
        <f>-EB$18*Assumptions!$N$30</f>
        <v>-6888.941136</v>
      </c>
      <c r="EC29" s="54">
        <f>-EC$18*Assumptions!$N$30</f>
        <v>-6888.941136</v>
      </c>
      <c r="ED29" s="54">
        <f>-ED$18*Assumptions!$N$30</f>
        <v>-6888.941136</v>
      </c>
      <c r="EE29" s="54">
        <f>-EE$18*Assumptions!$N$30</f>
        <v>-6888.941136</v>
      </c>
    </row>
    <row r="30" ht="15.75" customHeight="1">
      <c r="A30" s="1"/>
      <c r="B30" s="1"/>
      <c r="C30" s="1" t="str">
        <f>Assumptions!J31</f>
        <v>Contract Services</v>
      </c>
      <c r="D30" s="54">
        <f t="array" ref="D30">-(IF(D$2=1,Assumptions!$P31/12,-(SUMIF($D$2:$EE$2,D$2-1,$D30:$EE30)/12)*(1+XLOOKUP(D$2,Assumptions!$C$94:$M$94,Assumptions!$C$98:$M$98))))</f>
        <v>-1390.061392</v>
      </c>
      <c r="E30" s="54">
        <f t="array" ref="E30">-(IF(E$2=1,Assumptions!$P31/12,-(SUMIF($D$2:$EE$2,E$2-1,$D30:$EE30)/12)*(1+XLOOKUP(E$2,Assumptions!$C$94:$M$94,Assumptions!$C$98:$M$98))))</f>
        <v>-1390.061392</v>
      </c>
      <c r="F30" s="54">
        <f t="array" ref="F30">-(IF(F$2=1,Assumptions!$P31/12,-(SUMIF($D$2:$EE$2,F$2-1,$D30:$EE30)/12)*(1+XLOOKUP(F$2,Assumptions!$C$94:$M$94,Assumptions!$C$98:$M$98))))</f>
        <v>-1390.061392</v>
      </c>
      <c r="G30" s="54">
        <f t="array" ref="G30">-(IF(G$2=1,Assumptions!$P31/12,-(SUMIF($D$2:$EE$2,G$2-1,$D30:$EE30)/12)*(1+XLOOKUP(G$2,Assumptions!$C$94:$M$94,Assumptions!$C$98:$M$98))))</f>
        <v>-1390.061392</v>
      </c>
      <c r="H30" s="54">
        <f t="array" ref="H30">-(IF(H$2=1,Assumptions!$P31/12,-(SUMIF($D$2:$EE$2,H$2-1,$D30:$EE30)/12)*(1+XLOOKUP(H$2,Assumptions!$C$94:$M$94,Assumptions!$C$98:$M$98))))</f>
        <v>-1390.061392</v>
      </c>
      <c r="I30" s="54">
        <f t="array" ref="I30">-(IF(I$2=1,Assumptions!$P31/12,-(SUMIF($D$2:$EE$2,I$2-1,$D30:$EE30)/12)*(1+XLOOKUP(I$2,Assumptions!$C$94:$M$94,Assumptions!$C$98:$M$98))))</f>
        <v>-1390.061392</v>
      </c>
      <c r="J30" s="54">
        <f t="array" ref="J30">-(IF(J$2=1,Assumptions!$P31/12,-(SUMIF($D$2:$EE$2,J$2-1,$D30:$EE30)/12)*(1+XLOOKUP(J$2,Assumptions!$C$94:$M$94,Assumptions!$C$98:$M$98))))</f>
        <v>-1390.061392</v>
      </c>
      <c r="K30" s="54">
        <f t="array" ref="K30">-(IF(K$2=1,Assumptions!$P31/12,-(SUMIF($D$2:$EE$2,K$2-1,$D30:$EE30)/12)*(1+XLOOKUP(K$2,Assumptions!$C$94:$M$94,Assumptions!$C$98:$M$98))))</f>
        <v>-1390.061392</v>
      </c>
      <c r="L30" s="54">
        <f t="array" ref="L30">-(IF(L$2=1,Assumptions!$P31/12,-(SUMIF($D$2:$EE$2,L$2-1,$D30:$EE30)/12)*(1+XLOOKUP(L$2,Assumptions!$C$94:$M$94,Assumptions!$C$98:$M$98))))</f>
        <v>-1390.061392</v>
      </c>
      <c r="M30" s="54">
        <f t="array" ref="M30">-(IF(M$2=1,Assumptions!$P31/12,-(SUMIF($D$2:$EE$2,M$2-1,$D30:$EE30)/12)*(1+XLOOKUP(M$2,Assumptions!$C$94:$M$94,Assumptions!$C$98:$M$98))))</f>
        <v>-1390.061392</v>
      </c>
      <c r="N30" s="54">
        <f t="array" ref="N30">-(IF(N$2=1,Assumptions!$P31/12,-(SUMIF($D$2:$EE$2,N$2-1,$D30:$EE30)/12)*(1+XLOOKUP(N$2,Assumptions!$C$94:$M$94,Assumptions!$C$98:$M$98))))</f>
        <v>-1390.061392</v>
      </c>
      <c r="O30" s="54">
        <f t="array" ref="O30">-(IF(O$2=1,Assumptions!$P31/12,-(SUMIF($D$2:$EE$2,O$2-1,$D30:$EE30)/12)*(1+XLOOKUP(O$2,Assumptions!$C$94:$M$94,Assumptions!$C$98:$M$98))))</f>
        <v>-1390.061392</v>
      </c>
      <c r="P30" s="54">
        <f t="array" ref="P30">-(IF(P$2=1,Assumptions!$P31/12,-(SUMIF($D$2:$EE$2,P$2-1,$D30:$EE30)/12)*(1+XLOOKUP(P$2,Assumptions!$C$94:$M$94,Assumptions!$C$98:$M$98))))</f>
        <v>-1431.763233</v>
      </c>
      <c r="Q30" s="54">
        <f t="array" ref="Q30">-(IF(Q$2=1,Assumptions!$P31/12,-(SUMIF($D$2:$EE$2,Q$2-1,$D30:$EE30)/12)*(1+XLOOKUP(Q$2,Assumptions!$C$94:$M$94,Assumptions!$C$98:$M$98))))</f>
        <v>-1431.763233</v>
      </c>
      <c r="R30" s="54">
        <f t="array" ref="R30">-(IF(R$2=1,Assumptions!$P31/12,-(SUMIF($D$2:$EE$2,R$2-1,$D30:$EE30)/12)*(1+XLOOKUP(R$2,Assumptions!$C$94:$M$94,Assumptions!$C$98:$M$98))))</f>
        <v>-1431.763233</v>
      </c>
      <c r="S30" s="54">
        <f t="array" ref="S30">-(IF(S$2=1,Assumptions!$P31/12,-(SUMIF($D$2:$EE$2,S$2-1,$D30:$EE30)/12)*(1+XLOOKUP(S$2,Assumptions!$C$94:$M$94,Assumptions!$C$98:$M$98))))</f>
        <v>-1431.763233</v>
      </c>
      <c r="T30" s="54">
        <f t="array" ref="T30">-(IF(T$2=1,Assumptions!$P31/12,-(SUMIF($D$2:$EE$2,T$2-1,$D30:$EE30)/12)*(1+XLOOKUP(T$2,Assumptions!$C$94:$M$94,Assumptions!$C$98:$M$98))))</f>
        <v>-1431.763233</v>
      </c>
      <c r="U30" s="54">
        <f t="array" ref="U30">-(IF(U$2=1,Assumptions!$P31/12,-(SUMIF($D$2:$EE$2,U$2-1,$D30:$EE30)/12)*(1+XLOOKUP(U$2,Assumptions!$C$94:$M$94,Assumptions!$C$98:$M$98))))</f>
        <v>-1431.763233</v>
      </c>
      <c r="V30" s="54">
        <f t="array" ref="V30">-(IF(V$2=1,Assumptions!$P31/12,-(SUMIF($D$2:$EE$2,V$2-1,$D30:$EE30)/12)*(1+XLOOKUP(V$2,Assumptions!$C$94:$M$94,Assumptions!$C$98:$M$98))))</f>
        <v>-1431.763233</v>
      </c>
      <c r="W30" s="54">
        <f t="array" ref="W30">-(IF(W$2=1,Assumptions!$P31/12,-(SUMIF($D$2:$EE$2,W$2-1,$D30:$EE30)/12)*(1+XLOOKUP(W$2,Assumptions!$C$94:$M$94,Assumptions!$C$98:$M$98))))</f>
        <v>-1431.763233</v>
      </c>
      <c r="X30" s="54">
        <f t="array" ref="X30">-(IF(X$2=1,Assumptions!$P31/12,-(SUMIF($D$2:$EE$2,X$2-1,$D30:$EE30)/12)*(1+XLOOKUP(X$2,Assumptions!$C$94:$M$94,Assumptions!$C$98:$M$98))))</f>
        <v>-1431.763233</v>
      </c>
      <c r="Y30" s="54">
        <f t="array" ref="Y30">-(IF(Y$2=1,Assumptions!$P31/12,-(SUMIF($D$2:$EE$2,Y$2-1,$D30:$EE30)/12)*(1+XLOOKUP(Y$2,Assumptions!$C$94:$M$94,Assumptions!$C$98:$M$98))))</f>
        <v>-1431.763233</v>
      </c>
      <c r="Z30" s="54">
        <f t="array" ref="Z30">-(IF(Z$2=1,Assumptions!$P31/12,-(SUMIF($D$2:$EE$2,Z$2-1,$D30:$EE30)/12)*(1+XLOOKUP(Z$2,Assumptions!$C$94:$M$94,Assumptions!$C$98:$M$98))))</f>
        <v>-1431.763233</v>
      </c>
      <c r="AA30" s="54">
        <f t="array" ref="AA30">-(IF(AA$2=1,Assumptions!$P31/12,-(SUMIF($D$2:$EE$2,AA$2-1,$D30:$EE30)/12)*(1+XLOOKUP(AA$2,Assumptions!$C$94:$M$94,Assumptions!$C$98:$M$98))))</f>
        <v>-1431.763233</v>
      </c>
      <c r="AB30" s="54">
        <f t="array" ref="AB30">-(IF(AB$2=1,Assumptions!$P31/12,-(SUMIF($D$2:$EE$2,AB$2-1,$D30:$EE30)/12)*(1+XLOOKUP(AB$2,Assumptions!$C$94:$M$94,Assumptions!$C$98:$M$98))))</f>
        <v>-1474.71613</v>
      </c>
      <c r="AC30" s="54">
        <f t="array" ref="AC30">-(IF(AC$2=1,Assumptions!$P31/12,-(SUMIF($D$2:$EE$2,AC$2-1,$D30:$EE30)/12)*(1+XLOOKUP(AC$2,Assumptions!$C$94:$M$94,Assumptions!$C$98:$M$98))))</f>
        <v>-1474.71613</v>
      </c>
      <c r="AD30" s="54">
        <f t="array" ref="AD30">-(IF(AD$2=1,Assumptions!$P31/12,-(SUMIF($D$2:$EE$2,AD$2-1,$D30:$EE30)/12)*(1+XLOOKUP(AD$2,Assumptions!$C$94:$M$94,Assumptions!$C$98:$M$98))))</f>
        <v>-1474.71613</v>
      </c>
      <c r="AE30" s="54">
        <f t="array" ref="AE30">-(IF(AE$2=1,Assumptions!$P31/12,-(SUMIF($D$2:$EE$2,AE$2-1,$D30:$EE30)/12)*(1+XLOOKUP(AE$2,Assumptions!$C$94:$M$94,Assumptions!$C$98:$M$98))))</f>
        <v>-1474.71613</v>
      </c>
      <c r="AF30" s="54">
        <f t="array" ref="AF30">-(IF(AF$2=1,Assumptions!$P31/12,-(SUMIF($D$2:$EE$2,AF$2-1,$D30:$EE30)/12)*(1+XLOOKUP(AF$2,Assumptions!$C$94:$M$94,Assumptions!$C$98:$M$98))))</f>
        <v>-1474.71613</v>
      </c>
      <c r="AG30" s="54">
        <f t="array" ref="AG30">-(IF(AG$2=1,Assumptions!$P31/12,-(SUMIF($D$2:$EE$2,AG$2-1,$D30:$EE30)/12)*(1+XLOOKUP(AG$2,Assumptions!$C$94:$M$94,Assumptions!$C$98:$M$98))))</f>
        <v>-1474.71613</v>
      </c>
      <c r="AH30" s="54">
        <f t="array" ref="AH30">-(IF(AH$2=1,Assumptions!$P31/12,-(SUMIF($D$2:$EE$2,AH$2-1,$D30:$EE30)/12)*(1+XLOOKUP(AH$2,Assumptions!$C$94:$M$94,Assumptions!$C$98:$M$98))))</f>
        <v>-1474.71613</v>
      </c>
      <c r="AI30" s="54">
        <f t="array" ref="AI30">-(IF(AI$2=1,Assumptions!$P31/12,-(SUMIF($D$2:$EE$2,AI$2-1,$D30:$EE30)/12)*(1+XLOOKUP(AI$2,Assumptions!$C$94:$M$94,Assumptions!$C$98:$M$98))))</f>
        <v>-1474.71613</v>
      </c>
      <c r="AJ30" s="54">
        <f t="array" ref="AJ30">-(IF(AJ$2=1,Assumptions!$P31/12,-(SUMIF($D$2:$EE$2,AJ$2-1,$D30:$EE30)/12)*(1+XLOOKUP(AJ$2,Assumptions!$C$94:$M$94,Assumptions!$C$98:$M$98))))</f>
        <v>-1474.71613</v>
      </c>
      <c r="AK30" s="54">
        <f t="array" ref="AK30">-(IF(AK$2=1,Assumptions!$P31/12,-(SUMIF($D$2:$EE$2,AK$2-1,$D30:$EE30)/12)*(1+XLOOKUP(AK$2,Assumptions!$C$94:$M$94,Assumptions!$C$98:$M$98))))</f>
        <v>-1474.71613</v>
      </c>
      <c r="AL30" s="54">
        <f t="array" ref="AL30">-(IF(AL$2=1,Assumptions!$P31/12,-(SUMIF($D$2:$EE$2,AL$2-1,$D30:$EE30)/12)*(1+XLOOKUP(AL$2,Assumptions!$C$94:$M$94,Assumptions!$C$98:$M$98))))</f>
        <v>-1474.71613</v>
      </c>
      <c r="AM30" s="54">
        <f t="array" ref="AM30">-(IF(AM$2=1,Assumptions!$P31/12,-(SUMIF($D$2:$EE$2,AM$2-1,$D30:$EE30)/12)*(1+XLOOKUP(AM$2,Assumptions!$C$94:$M$94,Assumptions!$C$98:$M$98))))</f>
        <v>-1474.71613</v>
      </c>
      <c r="AN30" s="54">
        <f t="array" ref="AN30">-(IF(AN$2=1,Assumptions!$P31/12,-(SUMIF($D$2:$EE$2,AN$2-1,$D30:$EE30)/12)*(1+XLOOKUP(AN$2,Assumptions!$C$94:$M$94,Assumptions!$C$98:$M$98))))</f>
        <v>-1518.957614</v>
      </c>
      <c r="AO30" s="54">
        <f t="array" ref="AO30">-(IF(AO$2=1,Assumptions!$P31/12,-(SUMIF($D$2:$EE$2,AO$2-1,$D30:$EE30)/12)*(1+XLOOKUP(AO$2,Assumptions!$C$94:$M$94,Assumptions!$C$98:$M$98))))</f>
        <v>-1518.957614</v>
      </c>
      <c r="AP30" s="54">
        <f t="array" ref="AP30">-(IF(AP$2=1,Assumptions!$P31/12,-(SUMIF($D$2:$EE$2,AP$2-1,$D30:$EE30)/12)*(1+XLOOKUP(AP$2,Assumptions!$C$94:$M$94,Assumptions!$C$98:$M$98))))</f>
        <v>-1518.957614</v>
      </c>
      <c r="AQ30" s="54">
        <f t="array" ref="AQ30">-(IF(AQ$2=1,Assumptions!$P31/12,-(SUMIF($D$2:$EE$2,AQ$2-1,$D30:$EE30)/12)*(1+XLOOKUP(AQ$2,Assumptions!$C$94:$M$94,Assumptions!$C$98:$M$98))))</f>
        <v>-1518.957614</v>
      </c>
      <c r="AR30" s="54">
        <f t="array" ref="AR30">-(IF(AR$2=1,Assumptions!$P31/12,-(SUMIF($D$2:$EE$2,AR$2-1,$D30:$EE30)/12)*(1+XLOOKUP(AR$2,Assumptions!$C$94:$M$94,Assumptions!$C$98:$M$98))))</f>
        <v>-1518.957614</v>
      </c>
      <c r="AS30" s="54">
        <f t="array" ref="AS30">-(IF(AS$2=1,Assumptions!$P31/12,-(SUMIF($D$2:$EE$2,AS$2-1,$D30:$EE30)/12)*(1+XLOOKUP(AS$2,Assumptions!$C$94:$M$94,Assumptions!$C$98:$M$98))))</f>
        <v>-1518.957614</v>
      </c>
      <c r="AT30" s="54">
        <f t="array" ref="AT30">-(IF(AT$2=1,Assumptions!$P31/12,-(SUMIF($D$2:$EE$2,AT$2-1,$D30:$EE30)/12)*(1+XLOOKUP(AT$2,Assumptions!$C$94:$M$94,Assumptions!$C$98:$M$98))))</f>
        <v>-1518.957614</v>
      </c>
      <c r="AU30" s="54">
        <f t="array" ref="AU30">-(IF(AU$2=1,Assumptions!$P31/12,-(SUMIF($D$2:$EE$2,AU$2-1,$D30:$EE30)/12)*(1+XLOOKUP(AU$2,Assumptions!$C$94:$M$94,Assumptions!$C$98:$M$98))))</f>
        <v>-1518.957614</v>
      </c>
      <c r="AV30" s="54">
        <f t="array" ref="AV30">-(IF(AV$2=1,Assumptions!$P31/12,-(SUMIF($D$2:$EE$2,AV$2-1,$D30:$EE30)/12)*(1+XLOOKUP(AV$2,Assumptions!$C$94:$M$94,Assumptions!$C$98:$M$98))))</f>
        <v>-1518.957614</v>
      </c>
      <c r="AW30" s="54">
        <f t="array" ref="AW30">-(IF(AW$2=1,Assumptions!$P31/12,-(SUMIF($D$2:$EE$2,AW$2-1,$D30:$EE30)/12)*(1+XLOOKUP(AW$2,Assumptions!$C$94:$M$94,Assumptions!$C$98:$M$98))))</f>
        <v>-1518.957614</v>
      </c>
      <c r="AX30" s="54">
        <f t="array" ref="AX30">-(IF(AX$2=1,Assumptions!$P31/12,-(SUMIF($D$2:$EE$2,AX$2-1,$D30:$EE30)/12)*(1+XLOOKUP(AX$2,Assumptions!$C$94:$M$94,Assumptions!$C$98:$M$98))))</f>
        <v>-1518.957614</v>
      </c>
      <c r="AY30" s="54">
        <f t="array" ref="AY30">-(IF(AY$2=1,Assumptions!$P31/12,-(SUMIF($D$2:$EE$2,AY$2-1,$D30:$EE30)/12)*(1+XLOOKUP(AY$2,Assumptions!$C$94:$M$94,Assumptions!$C$98:$M$98))))</f>
        <v>-1518.957614</v>
      </c>
      <c r="AZ30" s="54">
        <f t="array" ref="AZ30">-(IF(AZ$2=1,Assumptions!$P31/12,-(SUMIF($D$2:$EE$2,AZ$2-1,$D30:$EE30)/12)*(1+XLOOKUP(AZ$2,Assumptions!$C$94:$M$94,Assumptions!$C$98:$M$98))))</f>
        <v>-1564.526343</v>
      </c>
      <c r="BA30" s="54">
        <f t="array" ref="BA30">-(IF(BA$2=1,Assumptions!$P31/12,-(SUMIF($D$2:$EE$2,BA$2-1,$D30:$EE30)/12)*(1+XLOOKUP(BA$2,Assumptions!$C$94:$M$94,Assumptions!$C$98:$M$98))))</f>
        <v>-1564.526343</v>
      </c>
      <c r="BB30" s="54">
        <f t="array" ref="BB30">-(IF(BB$2=1,Assumptions!$P31/12,-(SUMIF($D$2:$EE$2,BB$2-1,$D30:$EE30)/12)*(1+XLOOKUP(BB$2,Assumptions!$C$94:$M$94,Assumptions!$C$98:$M$98))))</f>
        <v>-1564.526343</v>
      </c>
      <c r="BC30" s="54">
        <f t="array" ref="BC30">-(IF(BC$2=1,Assumptions!$P31/12,-(SUMIF($D$2:$EE$2,BC$2-1,$D30:$EE30)/12)*(1+XLOOKUP(BC$2,Assumptions!$C$94:$M$94,Assumptions!$C$98:$M$98))))</f>
        <v>-1564.526343</v>
      </c>
      <c r="BD30" s="54">
        <f t="array" ref="BD30">-(IF(BD$2=1,Assumptions!$P31/12,-(SUMIF($D$2:$EE$2,BD$2-1,$D30:$EE30)/12)*(1+XLOOKUP(BD$2,Assumptions!$C$94:$M$94,Assumptions!$C$98:$M$98))))</f>
        <v>-1564.526343</v>
      </c>
      <c r="BE30" s="54">
        <f t="array" ref="BE30">-(IF(BE$2=1,Assumptions!$P31/12,-(SUMIF($D$2:$EE$2,BE$2-1,$D30:$EE30)/12)*(1+XLOOKUP(BE$2,Assumptions!$C$94:$M$94,Assumptions!$C$98:$M$98))))</f>
        <v>-1564.526343</v>
      </c>
      <c r="BF30" s="54">
        <f t="array" ref="BF30">-(IF(BF$2=1,Assumptions!$P31/12,-(SUMIF($D$2:$EE$2,BF$2-1,$D30:$EE30)/12)*(1+XLOOKUP(BF$2,Assumptions!$C$94:$M$94,Assumptions!$C$98:$M$98))))</f>
        <v>-1564.526343</v>
      </c>
      <c r="BG30" s="54">
        <f t="array" ref="BG30">-(IF(BG$2=1,Assumptions!$P31/12,-(SUMIF($D$2:$EE$2,BG$2-1,$D30:$EE30)/12)*(1+XLOOKUP(BG$2,Assumptions!$C$94:$M$94,Assumptions!$C$98:$M$98))))</f>
        <v>-1564.526343</v>
      </c>
      <c r="BH30" s="54">
        <f t="array" ref="BH30">-(IF(BH$2=1,Assumptions!$P31/12,-(SUMIF($D$2:$EE$2,BH$2-1,$D30:$EE30)/12)*(1+XLOOKUP(BH$2,Assumptions!$C$94:$M$94,Assumptions!$C$98:$M$98))))</f>
        <v>-1564.526343</v>
      </c>
      <c r="BI30" s="54">
        <f t="array" ref="BI30">-(IF(BI$2=1,Assumptions!$P31/12,-(SUMIF($D$2:$EE$2,BI$2-1,$D30:$EE30)/12)*(1+XLOOKUP(BI$2,Assumptions!$C$94:$M$94,Assumptions!$C$98:$M$98))))</f>
        <v>-1564.526343</v>
      </c>
      <c r="BJ30" s="54">
        <f t="array" ref="BJ30">-(IF(BJ$2=1,Assumptions!$P31/12,-(SUMIF($D$2:$EE$2,BJ$2-1,$D30:$EE30)/12)*(1+XLOOKUP(BJ$2,Assumptions!$C$94:$M$94,Assumptions!$C$98:$M$98))))</f>
        <v>-1564.526343</v>
      </c>
      <c r="BK30" s="54">
        <f t="array" ref="BK30">-(IF(BK$2=1,Assumptions!$P31/12,-(SUMIF($D$2:$EE$2,BK$2-1,$D30:$EE30)/12)*(1+XLOOKUP(BK$2,Assumptions!$C$94:$M$94,Assumptions!$C$98:$M$98))))</f>
        <v>-1564.526343</v>
      </c>
      <c r="BL30" s="54">
        <f t="array" ref="BL30">-(IF(BL$2=1,Assumptions!$P31/12,-(SUMIF($D$2:$EE$2,BL$2-1,$D30:$EE30)/12)*(1+XLOOKUP(BL$2,Assumptions!$C$94:$M$94,Assumptions!$C$98:$M$98))))</f>
        <v>-1611.462133</v>
      </c>
      <c r="BM30" s="54">
        <f t="array" ref="BM30">-(IF(BM$2=1,Assumptions!$P31/12,-(SUMIF($D$2:$EE$2,BM$2-1,$D30:$EE30)/12)*(1+XLOOKUP(BM$2,Assumptions!$C$94:$M$94,Assumptions!$C$98:$M$98))))</f>
        <v>-1611.462133</v>
      </c>
      <c r="BN30" s="54">
        <f t="array" ref="BN30">-(IF(BN$2=1,Assumptions!$P31/12,-(SUMIF($D$2:$EE$2,BN$2-1,$D30:$EE30)/12)*(1+XLOOKUP(BN$2,Assumptions!$C$94:$M$94,Assumptions!$C$98:$M$98))))</f>
        <v>-1611.462133</v>
      </c>
      <c r="BO30" s="54">
        <f t="array" ref="BO30">-(IF(BO$2=1,Assumptions!$P31/12,-(SUMIF($D$2:$EE$2,BO$2-1,$D30:$EE30)/12)*(1+XLOOKUP(BO$2,Assumptions!$C$94:$M$94,Assumptions!$C$98:$M$98))))</f>
        <v>-1611.462133</v>
      </c>
      <c r="BP30" s="54">
        <f t="array" ref="BP30">-(IF(BP$2=1,Assumptions!$P31/12,-(SUMIF($D$2:$EE$2,BP$2-1,$D30:$EE30)/12)*(1+XLOOKUP(BP$2,Assumptions!$C$94:$M$94,Assumptions!$C$98:$M$98))))</f>
        <v>-1611.462133</v>
      </c>
      <c r="BQ30" s="54">
        <f t="array" ref="BQ30">-(IF(BQ$2=1,Assumptions!$P31/12,-(SUMIF($D$2:$EE$2,BQ$2-1,$D30:$EE30)/12)*(1+XLOOKUP(BQ$2,Assumptions!$C$94:$M$94,Assumptions!$C$98:$M$98))))</f>
        <v>-1611.462133</v>
      </c>
      <c r="BR30" s="54">
        <f t="array" ref="BR30">-(IF(BR$2=1,Assumptions!$P31/12,-(SUMIF($D$2:$EE$2,BR$2-1,$D30:$EE30)/12)*(1+XLOOKUP(BR$2,Assumptions!$C$94:$M$94,Assumptions!$C$98:$M$98))))</f>
        <v>-1611.462133</v>
      </c>
      <c r="BS30" s="54">
        <f t="array" ref="BS30">-(IF(BS$2=1,Assumptions!$P31/12,-(SUMIF($D$2:$EE$2,BS$2-1,$D30:$EE30)/12)*(1+XLOOKUP(BS$2,Assumptions!$C$94:$M$94,Assumptions!$C$98:$M$98))))</f>
        <v>-1611.462133</v>
      </c>
      <c r="BT30" s="54">
        <f t="array" ref="BT30">-(IF(BT$2=1,Assumptions!$P31/12,-(SUMIF($D$2:$EE$2,BT$2-1,$D30:$EE30)/12)*(1+XLOOKUP(BT$2,Assumptions!$C$94:$M$94,Assumptions!$C$98:$M$98))))</f>
        <v>-1611.462133</v>
      </c>
      <c r="BU30" s="54">
        <f t="array" ref="BU30">-(IF(BU$2=1,Assumptions!$P31/12,-(SUMIF($D$2:$EE$2,BU$2-1,$D30:$EE30)/12)*(1+XLOOKUP(BU$2,Assumptions!$C$94:$M$94,Assumptions!$C$98:$M$98))))</f>
        <v>-1611.462133</v>
      </c>
      <c r="BV30" s="54">
        <f t="array" ref="BV30">-(IF(BV$2=1,Assumptions!$P31/12,-(SUMIF($D$2:$EE$2,BV$2-1,$D30:$EE30)/12)*(1+XLOOKUP(BV$2,Assumptions!$C$94:$M$94,Assumptions!$C$98:$M$98))))</f>
        <v>-1611.462133</v>
      </c>
      <c r="BW30" s="54">
        <f t="array" ref="BW30">-(IF(BW$2=1,Assumptions!$P31/12,-(SUMIF($D$2:$EE$2,BW$2-1,$D30:$EE30)/12)*(1+XLOOKUP(BW$2,Assumptions!$C$94:$M$94,Assumptions!$C$98:$M$98))))</f>
        <v>-1611.462133</v>
      </c>
      <c r="BX30" s="54">
        <f t="array" ref="BX30">-(IF(BX$2=1,Assumptions!$P31/12,-(SUMIF($D$2:$EE$2,BX$2-1,$D30:$EE30)/12)*(1+XLOOKUP(BX$2,Assumptions!$C$94:$M$94,Assumptions!$C$98:$M$98))))</f>
        <v>-1659.805997</v>
      </c>
      <c r="BY30" s="54">
        <f t="array" ref="BY30">-(IF(BY$2=1,Assumptions!$P31/12,-(SUMIF($D$2:$EE$2,BY$2-1,$D30:$EE30)/12)*(1+XLOOKUP(BY$2,Assumptions!$C$94:$M$94,Assumptions!$C$98:$M$98))))</f>
        <v>-1659.805997</v>
      </c>
      <c r="BZ30" s="54">
        <f t="array" ref="BZ30">-(IF(BZ$2=1,Assumptions!$P31/12,-(SUMIF($D$2:$EE$2,BZ$2-1,$D30:$EE30)/12)*(1+XLOOKUP(BZ$2,Assumptions!$C$94:$M$94,Assumptions!$C$98:$M$98))))</f>
        <v>-1659.805997</v>
      </c>
      <c r="CA30" s="54">
        <f t="array" ref="CA30">-(IF(CA$2=1,Assumptions!$P31/12,-(SUMIF($D$2:$EE$2,CA$2-1,$D30:$EE30)/12)*(1+XLOOKUP(CA$2,Assumptions!$C$94:$M$94,Assumptions!$C$98:$M$98))))</f>
        <v>-1659.805997</v>
      </c>
      <c r="CB30" s="54">
        <f t="array" ref="CB30">-(IF(CB$2=1,Assumptions!$P31/12,-(SUMIF($D$2:$EE$2,CB$2-1,$D30:$EE30)/12)*(1+XLOOKUP(CB$2,Assumptions!$C$94:$M$94,Assumptions!$C$98:$M$98))))</f>
        <v>-1659.805997</v>
      </c>
      <c r="CC30" s="54">
        <f t="array" ref="CC30">-(IF(CC$2=1,Assumptions!$P31/12,-(SUMIF($D$2:$EE$2,CC$2-1,$D30:$EE30)/12)*(1+XLOOKUP(CC$2,Assumptions!$C$94:$M$94,Assumptions!$C$98:$M$98))))</f>
        <v>-1659.805997</v>
      </c>
      <c r="CD30" s="54">
        <f t="array" ref="CD30">-(IF(CD$2=1,Assumptions!$P31/12,-(SUMIF($D$2:$EE$2,CD$2-1,$D30:$EE30)/12)*(1+XLOOKUP(CD$2,Assumptions!$C$94:$M$94,Assumptions!$C$98:$M$98))))</f>
        <v>-1659.805997</v>
      </c>
      <c r="CE30" s="54">
        <f t="array" ref="CE30">-(IF(CE$2=1,Assumptions!$P31/12,-(SUMIF($D$2:$EE$2,CE$2-1,$D30:$EE30)/12)*(1+XLOOKUP(CE$2,Assumptions!$C$94:$M$94,Assumptions!$C$98:$M$98))))</f>
        <v>-1659.805997</v>
      </c>
      <c r="CF30" s="54">
        <f t="array" ref="CF30">-(IF(CF$2=1,Assumptions!$P31/12,-(SUMIF($D$2:$EE$2,CF$2-1,$D30:$EE30)/12)*(1+XLOOKUP(CF$2,Assumptions!$C$94:$M$94,Assumptions!$C$98:$M$98))))</f>
        <v>-1659.805997</v>
      </c>
      <c r="CG30" s="54">
        <f t="array" ref="CG30">-(IF(CG$2=1,Assumptions!$P31/12,-(SUMIF($D$2:$EE$2,CG$2-1,$D30:$EE30)/12)*(1+XLOOKUP(CG$2,Assumptions!$C$94:$M$94,Assumptions!$C$98:$M$98))))</f>
        <v>-1659.805997</v>
      </c>
      <c r="CH30" s="54">
        <f t="array" ref="CH30">-(IF(CH$2=1,Assumptions!$P31/12,-(SUMIF($D$2:$EE$2,CH$2-1,$D30:$EE30)/12)*(1+XLOOKUP(CH$2,Assumptions!$C$94:$M$94,Assumptions!$C$98:$M$98))))</f>
        <v>-1659.805997</v>
      </c>
      <c r="CI30" s="54">
        <f t="array" ref="CI30">-(IF(CI$2=1,Assumptions!$P31/12,-(SUMIF($D$2:$EE$2,CI$2-1,$D30:$EE30)/12)*(1+XLOOKUP(CI$2,Assumptions!$C$94:$M$94,Assumptions!$C$98:$M$98))))</f>
        <v>-1659.805997</v>
      </c>
      <c r="CJ30" s="54">
        <f t="array" ref="CJ30">-(IF(CJ$2=1,Assumptions!$P31/12,-(SUMIF($D$2:$EE$2,CJ$2-1,$D30:$EE30)/12)*(1+XLOOKUP(CJ$2,Assumptions!$C$94:$M$94,Assumptions!$C$98:$M$98))))</f>
        <v>-1709.600177</v>
      </c>
      <c r="CK30" s="54">
        <f t="array" ref="CK30">-(IF(CK$2=1,Assumptions!$P31/12,-(SUMIF($D$2:$EE$2,CK$2-1,$D30:$EE30)/12)*(1+XLOOKUP(CK$2,Assumptions!$C$94:$M$94,Assumptions!$C$98:$M$98))))</f>
        <v>-1709.600177</v>
      </c>
      <c r="CL30" s="54">
        <f t="array" ref="CL30">-(IF(CL$2=1,Assumptions!$P31/12,-(SUMIF($D$2:$EE$2,CL$2-1,$D30:$EE30)/12)*(1+XLOOKUP(CL$2,Assumptions!$C$94:$M$94,Assumptions!$C$98:$M$98))))</f>
        <v>-1709.600177</v>
      </c>
      <c r="CM30" s="54">
        <f t="array" ref="CM30">-(IF(CM$2=1,Assumptions!$P31/12,-(SUMIF($D$2:$EE$2,CM$2-1,$D30:$EE30)/12)*(1+XLOOKUP(CM$2,Assumptions!$C$94:$M$94,Assumptions!$C$98:$M$98))))</f>
        <v>-1709.600177</v>
      </c>
      <c r="CN30" s="54">
        <f t="array" ref="CN30">-(IF(CN$2=1,Assumptions!$P31/12,-(SUMIF($D$2:$EE$2,CN$2-1,$D30:$EE30)/12)*(1+XLOOKUP(CN$2,Assumptions!$C$94:$M$94,Assumptions!$C$98:$M$98))))</f>
        <v>-1709.600177</v>
      </c>
      <c r="CO30" s="54">
        <f t="array" ref="CO30">-(IF(CO$2=1,Assumptions!$P31/12,-(SUMIF($D$2:$EE$2,CO$2-1,$D30:$EE30)/12)*(1+XLOOKUP(CO$2,Assumptions!$C$94:$M$94,Assumptions!$C$98:$M$98))))</f>
        <v>-1709.600177</v>
      </c>
      <c r="CP30" s="54">
        <f t="array" ref="CP30">-(IF(CP$2=1,Assumptions!$P31/12,-(SUMIF($D$2:$EE$2,CP$2-1,$D30:$EE30)/12)*(1+XLOOKUP(CP$2,Assumptions!$C$94:$M$94,Assumptions!$C$98:$M$98))))</f>
        <v>-1709.600177</v>
      </c>
      <c r="CQ30" s="54">
        <f t="array" ref="CQ30">-(IF(CQ$2=1,Assumptions!$P31/12,-(SUMIF($D$2:$EE$2,CQ$2-1,$D30:$EE30)/12)*(1+XLOOKUP(CQ$2,Assumptions!$C$94:$M$94,Assumptions!$C$98:$M$98))))</f>
        <v>-1709.600177</v>
      </c>
      <c r="CR30" s="54">
        <f t="array" ref="CR30">-(IF(CR$2=1,Assumptions!$P31/12,-(SUMIF($D$2:$EE$2,CR$2-1,$D30:$EE30)/12)*(1+XLOOKUP(CR$2,Assumptions!$C$94:$M$94,Assumptions!$C$98:$M$98))))</f>
        <v>-1709.600177</v>
      </c>
      <c r="CS30" s="54">
        <f t="array" ref="CS30">-(IF(CS$2=1,Assumptions!$P31/12,-(SUMIF($D$2:$EE$2,CS$2-1,$D30:$EE30)/12)*(1+XLOOKUP(CS$2,Assumptions!$C$94:$M$94,Assumptions!$C$98:$M$98))))</f>
        <v>-1709.600177</v>
      </c>
      <c r="CT30" s="54">
        <f t="array" ref="CT30">-(IF(CT$2=1,Assumptions!$P31/12,-(SUMIF($D$2:$EE$2,CT$2-1,$D30:$EE30)/12)*(1+XLOOKUP(CT$2,Assumptions!$C$94:$M$94,Assumptions!$C$98:$M$98))))</f>
        <v>-1709.600177</v>
      </c>
      <c r="CU30" s="54">
        <f t="array" ref="CU30">-(IF(CU$2=1,Assumptions!$P31/12,-(SUMIF($D$2:$EE$2,CU$2-1,$D30:$EE30)/12)*(1+XLOOKUP(CU$2,Assumptions!$C$94:$M$94,Assumptions!$C$98:$M$98))))</f>
        <v>-1709.600177</v>
      </c>
      <c r="CV30" s="54">
        <f t="array" ref="CV30">-(IF(CV$2=1,Assumptions!$P31/12,-(SUMIF($D$2:$EE$2,CV$2-1,$D30:$EE30)/12)*(1+XLOOKUP(CV$2,Assumptions!$C$94:$M$94,Assumptions!$C$98:$M$98))))</f>
        <v>-1760.888182</v>
      </c>
      <c r="CW30" s="54">
        <f t="array" ref="CW30">-(IF(CW$2=1,Assumptions!$P31/12,-(SUMIF($D$2:$EE$2,CW$2-1,$D30:$EE30)/12)*(1+XLOOKUP(CW$2,Assumptions!$C$94:$M$94,Assumptions!$C$98:$M$98))))</f>
        <v>-1760.888182</v>
      </c>
      <c r="CX30" s="54">
        <f t="array" ref="CX30">-(IF(CX$2=1,Assumptions!$P31/12,-(SUMIF($D$2:$EE$2,CX$2-1,$D30:$EE30)/12)*(1+XLOOKUP(CX$2,Assumptions!$C$94:$M$94,Assumptions!$C$98:$M$98))))</f>
        <v>-1760.888182</v>
      </c>
      <c r="CY30" s="54">
        <f t="array" ref="CY30">-(IF(CY$2=1,Assumptions!$P31/12,-(SUMIF($D$2:$EE$2,CY$2-1,$D30:$EE30)/12)*(1+XLOOKUP(CY$2,Assumptions!$C$94:$M$94,Assumptions!$C$98:$M$98))))</f>
        <v>-1760.888182</v>
      </c>
      <c r="CZ30" s="54">
        <f t="array" ref="CZ30">-(IF(CZ$2=1,Assumptions!$P31/12,-(SUMIF($D$2:$EE$2,CZ$2-1,$D30:$EE30)/12)*(1+XLOOKUP(CZ$2,Assumptions!$C$94:$M$94,Assumptions!$C$98:$M$98))))</f>
        <v>-1760.888182</v>
      </c>
      <c r="DA30" s="54">
        <f t="array" ref="DA30">-(IF(DA$2=1,Assumptions!$P31/12,-(SUMIF($D$2:$EE$2,DA$2-1,$D30:$EE30)/12)*(1+XLOOKUP(DA$2,Assumptions!$C$94:$M$94,Assumptions!$C$98:$M$98))))</f>
        <v>-1760.888182</v>
      </c>
      <c r="DB30" s="54">
        <f t="array" ref="DB30">-(IF(DB$2=1,Assumptions!$P31/12,-(SUMIF($D$2:$EE$2,DB$2-1,$D30:$EE30)/12)*(1+XLOOKUP(DB$2,Assumptions!$C$94:$M$94,Assumptions!$C$98:$M$98))))</f>
        <v>-1760.888182</v>
      </c>
      <c r="DC30" s="54">
        <f t="array" ref="DC30">-(IF(DC$2=1,Assumptions!$P31/12,-(SUMIF($D$2:$EE$2,DC$2-1,$D30:$EE30)/12)*(1+XLOOKUP(DC$2,Assumptions!$C$94:$M$94,Assumptions!$C$98:$M$98))))</f>
        <v>-1760.888182</v>
      </c>
      <c r="DD30" s="54">
        <f t="array" ref="DD30">-(IF(DD$2=1,Assumptions!$P31/12,-(SUMIF($D$2:$EE$2,DD$2-1,$D30:$EE30)/12)*(1+XLOOKUP(DD$2,Assumptions!$C$94:$M$94,Assumptions!$C$98:$M$98))))</f>
        <v>-1760.888182</v>
      </c>
      <c r="DE30" s="54">
        <f t="array" ref="DE30">-(IF(DE$2=1,Assumptions!$P31/12,-(SUMIF($D$2:$EE$2,DE$2-1,$D30:$EE30)/12)*(1+XLOOKUP(DE$2,Assumptions!$C$94:$M$94,Assumptions!$C$98:$M$98))))</f>
        <v>-1760.888182</v>
      </c>
      <c r="DF30" s="54">
        <f t="array" ref="DF30">-(IF(DF$2=1,Assumptions!$P31/12,-(SUMIF($D$2:$EE$2,DF$2-1,$D30:$EE30)/12)*(1+XLOOKUP(DF$2,Assumptions!$C$94:$M$94,Assumptions!$C$98:$M$98))))</f>
        <v>-1760.888182</v>
      </c>
      <c r="DG30" s="54">
        <f t="array" ref="DG30">-(IF(DG$2=1,Assumptions!$P31/12,-(SUMIF($D$2:$EE$2,DG$2-1,$D30:$EE30)/12)*(1+XLOOKUP(DG$2,Assumptions!$C$94:$M$94,Assumptions!$C$98:$M$98))))</f>
        <v>-1760.888182</v>
      </c>
      <c r="DH30" s="54">
        <f t="array" ref="DH30">-(IF(DH$2=1,Assumptions!$P31/12,-(SUMIF($D$2:$EE$2,DH$2-1,$D30:$EE30)/12)*(1+XLOOKUP(DH$2,Assumptions!$C$94:$M$94,Assumptions!$C$98:$M$98))))</f>
        <v>-1813.714828</v>
      </c>
      <c r="DI30" s="54">
        <f t="array" ref="DI30">-(IF(DI$2=1,Assumptions!$P31/12,-(SUMIF($D$2:$EE$2,DI$2-1,$D30:$EE30)/12)*(1+XLOOKUP(DI$2,Assumptions!$C$94:$M$94,Assumptions!$C$98:$M$98))))</f>
        <v>-1813.714828</v>
      </c>
      <c r="DJ30" s="54">
        <f t="array" ref="DJ30">-(IF(DJ$2=1,Assumptions!$P31/12,-(SUMIF($D$2:$EE$2,DJ$2-1,$D30:$EE30)/12)*(1+XLOOKUP(DJ$2,Assumptions!$C$94:$M$94,Assumptions!$C$98:$M$98))))</f>
        <v>-1813.714828</v>
      </c>
      <c r="DK30" s="54">
        <f t="array" ref="DK30">-(IF(DK$2=1,Assumptions!$P31/12,-(SUMIF($D$2:$EE$2,DK$2-1,$D30:$EE30)/12)*(1+XLOOKUP(DK$2,Assumptions!$C$94:$M$94,Assumptions!$C$98:$M$98))))</f>
        <v>-1813.714828</v>
      </c>
      <c r="DL30" s="54">
        <f t="array" ref="DL30">-(IF(DL$2=1,Assumptions!$P31/12,-(SUMIF($D$2:$EE$2,DL$2-1,$D30:$EE30)/12)*(1+XLOOKUP(DL$2,Assumptions!$C$94:$M$94,Assumptions!$C$98:$M$98))))</f>
        <v>-1813.714828</v>
      </c>
      <c r="DM30" s="54">
        <f t="array" ref="DM30">-(IF(DM$2=1,Assumptions!$P31/12,-(SUMIF($D$2:$EE$2,DM$2-1,$D30:$EE30)/12)*(1+XLOOKUP(DM$2,Assumptions!$C$94:$M$94,Assumptions!$C$98:$M$98))))</f>
        <v>-1813.714828</v>
      </c>
      <c r="DN30" s="54">
        <f t="array" ref="DN30">-(IF(DN$2=1,Assumptions!$P31/12,-(SUMIF($D$2:$EE$2,DN$2-1,$D30:$EE30)/12)*(1+XLOOKUP(DN$2,Assumptions!$C$94:$M$94,Assumptions!$C$98:$M$98))))</f>
        <v>-1813.714828</v>
      </c>
      <c r="DO30" s="54">
        <f t="array" ref="DO30">-(IF(DO$2=1,Assumptions!$P31/12,-(SUMIF($D$2:$EE$2,DO$2-1,$D30:$EE30)/12)*(1+XLOOKUP(DO$2,Assumptions!$C$94:$M$94,Assumptions!$C$98:$M$98))))</f>
        <v>-1813.714828</v>
      </c>
      <c r="DP30" s="54">
        <f t="array" ref="DP30">-(IF(DP$2=1,Assumptions!$P31/12,-(SUMIF($D$2:$EE$2,DP$2-1,$D30:$EE30)/12)*(1+XLOOKUP(DP$2,Assumptions!$C$94:$M$94,Assumptions!$C$98:$M$98))))</f>
        <v>-1813.714828</v>
      </c>
      <c r="DQ30" s="54">
        <f t="array" ref="DQ30">-(IF(DQ$2=1,Assumptions!$P31/12,-(SUMIF($D$2:$EE$2,DQ$2-1,$D30:$EE30)/12)*(1+XLOOKUP(DQ$2,Assumptions!$C$94:$M$94,Assumptions!$C$98:$M$98))))</f>
        <v>-1813.714828</v>
      </c>
      <c r="DR30" s="54">
        <f t="array" ref="DR30">-(IF(DR$2=1,Assumptions!$P31/12,-(SUMIF($D$2:$EE$2,DR$2-1,$D30:$EE30)/12)*(1+XLOOKUP(DR$2,Assumptions!$C$94:$M$94,Assumptions!$C$98:$M$98))))</f>
        <v>-1813.714828</v>
      </c>
      <c r="DS30" s="54">
        <f t="array" ref="DS30">-(IF(DS$2=1,Assumptions!$P31/12,-(SUMIF($D$2:$EE$2,DS$2-1,$D30:$EE30)/12)*(1+XLOOKUP(DS$2,Assumptions!$C$94:$M$94,Assumptions!$C$98:$M$98))))</f>
        <v>-1813.714828</v>
      </c>
      <c r="DT30" s="54">
        <f t="array" ref="DT30">-(IF(DT$2=1,Assumptions!$P31/12,-(SUMIF($D$2:$EE$2,DT$2-1,$D30:$EE30)/12)*(1+XLOOKUP(DT$2,Assumptions!$C$94:$M$94,Assumptions!$C$98:$M$98))))</f>
        <v>-1868.126273</v>
      </c>
      <c r="DU30" s="54">
        <f t="array" ref="DU30">-(IF(DU$2=1,Assumptions!$P31/12,-(SUMIF($D$2:$EE$2,DU$2-1,$D30:$EE30)/12)*(1+XLOOKUP(DU$2,Assumptions!$C$94:$M$94,Assumptions!$C$98:$M$98))))</f>
        <v>-1868.126273</v>
      </c>
      <c r="DV30" s="54">
        <f t="array" ref="DV30">-(IF(DV$2=1,Assumptions!$P31/12,-(SUMIF($D$2:$EE$2,DV$2-1,$D30:$EE30)/12)*(1+XLOOKUP(DV$2,Assumptions!$C$94:$M$94,Assumptions!$C$98:$M$98))))</f>
        <v>-1868.126273</v>
      </c>
      <c r="DW30" s="54">
        <f t="array" ref="DW30">-(IF(DW$2=1,Assumptions!$P31/12,-(SUMIF($D$2:$EE$2,DW$2-1,$D30:$EE30)/12)*(1+XLOOKUP(DW$2,Assumptions!$C$94:$M$94,Assumptions!$C$98:$M$98))))</f>
        <v>-1868.126273</v>
      </c>
      <c r="DX30" s="54">
        <f t="array" ref="DX30">-(IF(DX$2=1,Assumptions!$P31/12,-(SUMIF($D$2:$EE$2,DX$2-1,$D30:$EE30)/12)*(1+XLOOKUP(DX$2,Assumptions!$C$94:$M$94,Assumptions!$C$98:$M$98))))</f>
        <v>-1868.126273</v>
      </c>
      <c r="DY30" s="54">
        <f t="array" ref="DY30">-(IF(DY$2=1,Assumptions!$P31/12,-(SUMIF($D$2:$EE$2,DY$2-1,$D30:$EE30)/12)*(1+XLOOKUP(DY$2,Assumptions!$C$94:$M$94,Assumptions!$C$98:$M$98))))</f>
        <v>-1868.126273</v>
      </c>
      <c r="DZ30" s="54">
        <f t="array" ref="DZ30">-(IF(DZ$2=1,Assumptions!$P31/12,-(SUMIF($D$2:$EE$2,DZ$2-1,$D30:$EE30)/12)*(1+XLOOKUP(DZ$2,Assumptions!$C$94:$M$94,Assumptions!$C$98:$M$98))))</f>
        <v>-1868.126273</v>
      </c>
      <c r="EA30" s="54">
        <f t="array" ref="EA30">-(IF(EA$2=1,Assumptions!$P31/12,-(SUMIF($D$2:$EE$2,EA$2-1,$D30:$EE30)/12)*(1+XLOOKUP(EA$2,Assumptions!$C$94:$M$94,Assumptions!$C$98:$M$98))))</f>
        <v>-1868.126273</v>
      </c>
      <c r="EB30" s="54">
        <f t="array" ref="EB30">-(IF(EB$2=1,Assumptions!$P31/12,-(SUMIF($D$2:$EE$2,EB$2-1,$D30:$EE30)/12)*(1+XLOOKUP(EB$2,Assumptions!$C$94:$M$94,Assumptions!$C$98:$M$98))))</f>
        <v>-1868.126273</v>
      </c>
      <c r="EC30" s="54">
        <f t="array" ref="EC30">-(IF(EC$2=1,Assumptions!$P31/12,-(SUMIF($D$2:$EE$2,EC$2-1,$D30:$EE30)/12)*(1+XLOOKUP(EC$2,Assumptions!$C$94:$M$94,Assumptions!$C$98:$M$98))))</f>
        <v>-1868.126273</v>
      </c>
      <c r="ED30" s="54">
        <f t="array" ref="ED30">-(IF(ED$2=1,Assumptions!$P31/12,-(SUMIF($D$2:$EE$2,ED$2-1,$D30:$EE30)/12)*(1+XLOOKUP(ED$2,Assumptions!$C$94:$M$94,Assumptions!$C$98:$M$98))))</f>
        <v>-1868.126273</v>
      </c>
      <c r="EE30" s="54">
        <f t="array" ref="EE30">-(IF(EE$2=1,Assumptions!$P31/12,-(SUMIF($D$2:$EE$2,EE$2-1,$D30:$EE30)/12)*(1+XLOOKUP(EE$2,Assumptions!$C$94:$M$94,Assumptions!$C$98:$M$98))))</f>
        <v>-1868.126273</v>
      </c>
    </row>
    <row r="31" ht="15.75" customHeight="1">
      <c r="A31" s="1"/>
      <c r="B31" s="1"/>
      <c r="C31" s="1" t="str">
        <f>Assumptions!J32</f>
        <v>Repair &amp; Maintenance</v>
      </c>
      <c r="D31" s="54">
        <f t="array" ref="D31">-(IF(D$2=1,Assumptions!$P32/12,-(SUMIF($D$2:$EE$2,D$2-1,$D31:$EE31)/12)*(1+XLOOKUP(D$2,Assumptions!$C$94:$M$94,Assumptions!$C$98:$M$98))))</f>
        <v>-2806.1526</v>
      </c>
      <c r="E31" s="54">
        <f t="array" ref="E31">-(IF(E$2=1,Assumptions!$P32/12,-(SUMIF($D$2:$EE$2,E$2-1,$D31:$EE31)/12)*(1+XLOOKUP(E$2,Assumptions!$C$94:$M$94,Assumptions!$C$98:$M$98))))</f>
        <v>-2806.1526</v>
      </c>
      <c r="F31" s="54">
        <f t="array" ref="F31">-(IF(F$2=1,Assumptions!$P32/12,-(SUMIF($D$2:$EE$2,F$2-1,$D31:$EE31)/12)*(1+XLOOKUP(F$2,Assumptions!$C$94:$M$94,Assumptions!$C$98:$M$98))))</f>
        <v>-2806.1526</v>
      </c>
      <c r="G31" s="54">
        <f t="array" ref="G31">-(IF(G$2=1,Assumptions!$P32/12,-(SUMIF($D$2:$EE$2,G$2-1,$D31:$EE31)/12)*(1+XLOOKUP(G$2,Assumptions!$C$94:$M$94,Assumptions!$C$98:$M$98))))</f>
        <v>-2806.1526</v>
      </c>
      <c r="H31" s="54">
        <f t="array" ref="H31">-(IF(H$2=1,Assumptions!$P32/12,-(SUMIF($D$2:$EE$2,H$2-1,$D31:$EE31)/12)*(1+XLOOKUP(H$2,Assumptions!$C$94:$M$94,Assumptions!$C$98:$M$98))))</f>
        <v>-2806.1526</v>
      </c>
      <c r="I31" s="54">
        <f t="array" ref="I31">-(IF(I$2=1,Assumptions!$P32/12,-(SUMIF($D$2:$EE$2,I$2-1,$D31:$EE31)/12)*(1+XLOOKUP(I$2,Assumptions!$C$94:$M$94,Assumptions!$C$98:$M$98))))</f>
        <v>-2806.1526</v>
      </c>
      <c r="J31" s="54">
        <f t="array" ref="J31">-(IF(J$2=1,Assumptions!$P32/12,-(SUMIF($D$2:$EE$2,J$2-1,$D31:$EE31)/12)*(1+XLOOKUP(J$2,Assumptions!$C$94:$M$94,Assumptions!$C$98:$M$98))))</f>
        <v>-2806.1526</v>
      </c>
      <c r="K31" s="54">
        <f t="array" ref="K31">-(IF(K$2=1,Assumptions!$P32/12,-(SUMIF($D$2:$EE$2,K$2-1,$D31:$EE31)/12)*(1+XLOOKUP(K$2,Assumptions!$C$94:$M$94,Assumptions!$C$98:$M$98))))</f>
        <v>-2806.1526</v>
      </c>
      <c r="L31" s="54">
        <f t="array" ref="L31">-(IF(L$2=1,Assumptions!$P32/12,-(SUMIF($D$2:$EE$2,L$2-1,$D31:$EE31)/12)*(1+XLOOKUP(L$2,Assumptions!$C$94:$M$94,Assumptions!$C$98:$M$98))))</f>
        <v>-2806.1526</v>
      </c>
      <c r="M31" s="54">
        <f t="array" ref="M31">-(IF(M$2=1,Assumptions!$P32/12,-(SUMIF($D$2:$EE$2,M$2-1,$D31:$EE31)/12)*(1+XLOOKUP(M$2,Assumptions!$C$94:$M$94,Assumptions!$C$98:$M$98))))</f>
        <v>-2806.1526</v>
      </c>
      <c r="N31" s="54">
        <f t="array" ref="N31">-(IF(N$2=1,Assumptions!$P32/12,-(SUMIF($D$2:$EE$2,N$2-1,$D31:$EE31)/12)*(1+XLOOKUP(N$2,Assumptions!$C$94:$M$94,Assumptions!$C$98:$M$98))))</f>
        <v>-2806.1526</v>
      </c>
      <c r="O31" s="54">
        <f t="array" ref="O31">-(IF(O$2=1,Assumptions!$P32/12,-(SUMIF($D$2:$EE$2,O$2-1,$D31:$EE31)/12)*(1+XLOOKUP(O$2,Assumptions!$C$94:$M$94,Assumptions!$C$98:$M$98))))</f>
        <v>-2806.1526</v>
      </c>
      <c r="P31" s="54">
        <f t="array" ref="P31">-(IF(P$2=1,Assumptions!$P32/12,-(SUMIF($D$2:$EE$2,P$2-1,$D31:$EE31)/12)*(1+XLOOKUP(P$2,Assumptions!$C$94:$M$94,Assumptions!$C$98:$M$98))))</f>
        <v>-2890.337178</v>
      </c>
      <c r="Q31" s="54">
        <f t="array" ref="Q31">-(IF(Q$2=1,Assumptions!$P32/12,-(SUMIF($D$2:$EE$2,Q$2-1,$D31:$EE31)/12)*(1+XLOOKUP(Q$2,Assumptions!$C$94:$M$94,Assumptions!$C$98:$M$98))))</f>
        <v>-2890.337178</v>
      </c>
      <c r="R31" s="54">
        <f t="array" ref="R31">-(IF(R$2=1,Assumptions!$P32/12,-(SUMIF($D$2:$EE$2,R$2-1,$D31:$EE31)/12)*(1+XLOOKUP(R$2,Assumptions!$C$94:$M$94,Assumptions!$C$98:$M$98))))</f>
        <v>-2890.337178</v>
      </c>
      <c r="S31" s="54">
        <f t="array" ref="S31">-(IF(S$2=1,Assumptions!$P32/12,-(SUMIF($D$2:$EE$2,S$2-1,$D31:$EE31)/12)*(1+XLOOKUP(S$2,Assumptions!$C$94:$M$94,Assumptions!$C$98:$M$98))))</f>
        <v>-2890.337178</v>
      </c>
      <c r="T31" s="54">
        <f t="array" ref="T31">-(IF(T$2=1,Assumptions!$P32/12,-(SUMIF($D$2:$EE$2,T$2-1,$D31:$EE31)/12)*(1+XLOOKUP(T$2,Assumptions!$C$94:$M$94,Assumptions!$C$98:$M$98))))</f>
        <v>-2890.337178</v>
      </c>
      <c r="U31" s="54">
        <f t="array" ref="U31">-(IF(U$2=1,Assumptions!$P32/12,-(SUMIF($D$2:$EE$2,U$2-1,$D31:$EE31)/12)*(1+XLOOKUP(U$2,Assumptions!$C$94:$M$94,Assumptions!$C$98:$M$98))))</f>
        <v>-2890.337178</v>
      </c>
      <c r="V31" s="54">
        <f t="array" ref="V31">-(IF(V$2=1,Assumptions!$P32/12,-(SUMIF($D$2:$EE$2,V$2-1,$D31:$EE31)/12)*(1+XLOOKUP(V$2,Assumptions!$C$94:$M$94,Assumptions!$C$98:$M$98))))</f>
        <v>-2890.337178</v>
      </c>
      <c r="W31" s="54">
        <f t="array" ref="W31">-(IF(W$2=1,Assumptions!$P32/12,-(SUMIF($D$2:$EE$2,W$2-1,$D31:$EE31)/12)*(1+XLOOKUP(W$2,Assumptions!$C$94:$M$94,Assumptions!$C$98:$M$98))))</f>
        <v>-2890.337178</v>
      </c>
      <c r="X31" s="54">
        <f t="array" ref="X31">-(IF(X$2=1,Assumptions!$P32/12,-(SUMIF($D$2:$EE$2,X$2-1,$D31:$EE31)/12)*(1+XLOOKUP(X$2,Assumptions!$C$94:$M$94,Assumptions!$C$98:$M$98))))</f>
        <v>-2890.337178</v>
      </c>
      <c r="Y31" s="54">
        <f t="array" ref="Y31">-(IF(Y$2=1,Assumptions!$P32/12,-(SUMIF($D$2:$EE$2,Y$2-1,$D31:$EE31)/12)*(1+XLOOKUP(Y$2,Assumptions!$C$94:$M$94,Assumptions!$C$98:$M$98))))</f>
        <v>-2890.337178</v>
      </c>
      <c r="Z31" s="54">
        <f t="array" ref="Z31">-(IF(Z$2=1,Assumptions!$P32/12,-(SUMIF($D$2:$EE$2,Z$2-1,$D31:$EE31)/12)*(1+XLOOKUP(Z$2,Assumptions!$C$94:$M$94,Assumptions!$C$98:$M$98))))</f>
        <v>-2890.337178</v>
      </c>
      <c r="AA31" s="54">
        <f t="array" ref="AA31">-(IF(AA$2=1,Assumptions!$P32/12,-(SUMIF($D$2:$EE$2,AA$2-1,$D31:$EE31)/12)*(1+XLOOKUP(AA$2,Assumptions!$C$94:$M$94,Assumptions!$C$98:$M$98))))</f>
        <v>-2890.337178</v>
      </c>
      <c r="AB31" s="54">
        <f t="array" ref="AB31">-(IF(AB$2=1,Assumptions!$P32/12,-(SUMIF($D$2:$EE$2,AB$2-1,$D31:$EE31)/12)*(1+XLOOKUP(AB$2,Assumptions!$C$94:$M$94,Assumptions!$C$98:$M$98))))</f>
        <v>-2977.047293</v>
      </c>
      <c r="AC31" s="54">
        <f t="array" ref="AC31">-(IF(AC$2=1,Assumptions!$P32/12,-(SUMIF($D$2:$EE$2,AC$2-1,$D31:$EE31)/12)*(1+XLOOKUP(AC$2,Assumptions!$C$94:$M$94,Assumptions!$C$98:$M$98))))</f>
        <v>-2977.047293</v>
      </c>
      <c r="AD31" s="54">
        <f t="array" ref="AD31">-(IF(AD$2=1,Assumptions!$P32/12,-(SUMIF($D$2:$EE$2,AD$2-1,$D31:$EE31)/12)*(1+XLOOKUP(AD$2,Assumptions!$C$94:$M$94,Assumptions!$C$98:$M$98))))</f>
        <v>-2977.047293</v>
      </c>
      <c r="AE31" s="54">
        <f t="array" ref="AE31">-(IF(AE$2=1,Assumptions!$P32/12,-(SUMIF($D$2:$EE$2,AE$2-1,$D31:$EE31)/12)*(1+XLOOKUP(AE$2,Assumptions!$C$94:$M$94,Assumptions!$C$98:$M$98))))</f>
        <v>-2977.047293</v>
      </c>
      <c r="AF31" s="54">
        <f t="array" ref="AF31">-(IF(AF$2=1,Assumptions!$P32/12,-(SUMIF($D$2:$EE$2,AF$2-1,$D31:$EE31)/12)*(1+XLOOKUP(AF$2,Assumptions!$C$94:$M$94,Assumptions!$C$98:$M$98))))</f>
        <v>-2977.047293</v>
      </c>
      <c r="AG31" s="54">
        <f t="array" ref="AG31">-(IF(AG$2=1,Assumptions!$P32/12,-(SUMIF($D$2:$EE$2,AG$2-1,$D31:$EE31)/12)*(1+XLOOKUP(AG$2,Assumptions!$C$94:$M$94,Assumptions!$C$98:$M$98))))</f>
        <v>-2977.047293</v>
      </c>
      <c r="AH31" s="54">
        <f t="array" ref="AH31">-(IF(AH$2=1,Assumptions!$P32/12,-(SUMIF($D$2:$EE$2,AH$2-1,$D31:$EE31)/12)*(1+XLOOKUP(AH$2,Assumptions!$C$94:$M$94,Assumptions!$C$98:$M$98))))</f>
        <v>-2977.047293</v>
      </c>
      <c r="AI31" s="54">
        <f t="array" ref="AI31">-(IF(AI$2=1,Assumptions!$P32/12,-(SUMIF($D$2:$EE$2,AI$2-1,$D31:$EE31)/12)*(1+XLOOKUP(AI$2,Assumptions!$C$94:$M$94,Assumptions!$C$98:$M$98))))</f>
        <v>-2977.047293</v>
      </c>
      <c r="AJ31" s="54">
        <f t="array" ref="AJ31">-(IF(AJ$2=1,Assumptions!$P32/12,-(SUMIF($D$2:$EE$2,AJ$2-1,$D31:$EE31)/12)*(1+XLOOKUP(AJ$2,Assumptions!$C$94:$M$94,Assumptions!$C$98:$M$98))))</f>
        <v>-2977.047293</v>
      </c>
      <c r="AK31" s="54">
        <f t="array" ref="AK31">-(IF(AK$2=1,Assumptions!$P32/12,-(SUMIF($D$2:$EE$2,AK$2-1,$D31:$EE31)/12)*(1+XLOOKUP(AK$2,Assumptions!$C$94:$M$94,Assumptions!$C$98:$M$98))))</f>
        <v>-2977.047293</v>
      </c>
      <c r="AL31" s="54">
        <f t="array" ref="AL31">-(IF(AL$2=1,Assumptions!$P32/12,-(SUMIF($D$2:$EE$2,AL$2-1,$D31:$EE31)/12)*(1+XLOOKUP(AL$2,Assumptions!$C$94:$M$94,Assumptions!$C$98:$M$98))))</f>
        <v>-2977.047293</v>
      </c>
      <c r="AM31" s="54">
        <f t="array" ref="AM31">-(IF(AM$2=1,Assumptions!$P32/12,-(SUMIF($D$2:$EE$2,AM$2-1,$D31:$EE31)/12)*(1+XLOOKUP(AM$2,Assumptions!$C$94:$M$94,Assumptions!$C$98:$M$98))))</f>
        <v>-2977.047293</v>
      </c>
      <c r="AN31" s="54">
        <f t="array" ref="AN31">-(IF(AN$2=1,Assumptions!$P32/12,-(SUMIF($D$2:$EE$2,AN$2-1,$D31:$EE31)/12)*(1+XLOOKUP(AN$2,Assumptions!$C$94:$M$94,Assumptions!$C$98:$M$98))))</f>
        <v>-3066.358712</v>
      </c>
      <c r="AO31" s="54">
        <f t="array" ref="AO31">-(IF(AO$2=1,Assumptions!$P32/12,-(SUMIF($D$2:$EE$2,AO$2-1,$D31:$EE31)/12)*(1+XLOOKUP(AO$2,Assumptions!$C$94:$M$94,Assumptions!$C$98:$M$98))))</f>
        <v>-3066.358712</v>
      </c>
      <c r="AP31" s="54">
        <f t="array" ref="AP31">-(IF(AP$2=1,Assumptions!$P32/12,-(SUMIF($D$2:$EE$2,AP$2-1,$D31:$EE31)/12)*(1+XLOOKUP(AP$2,Assumptions!$C$94:$M$94,Assumptions!$C$98:$M$98))))</f>
        <v>-3066.358712</v>
      </c>
      <c r="AQ31" s="54">
        <f t="array" ref="AQ31">-(IF(AQ$2=1,Assumptions!$P32/12,-(SUMIF($D$2:$EE$2,AQ$2-1,$D31:$EE31)/12)*(1+XLOOKUP(AQ$2,Assumptions!$C$94:$M$94,Assumptions!$C$98:$M$98))))</f>
        <v>-3066.358712</v>
      </c>
      <c r="AR31" s="54">
        <f t="array" ref="AR31">-(IF(AR$2=1,Assumptions!$P32/12,-(SUMIF($D$2:$EE$2,AR$2-1,$D31:$EE31)/12)*(1+XLOOKUP(AR$2,Assumptions!$C$94:$M$94,Assumptions!$C$98:$M$98))))</f>
        <v>-3066.358712</v>
      </c>
      <c r="AS31" s="54">
        <f t="array" ref="AS31">-(IF(AS$2=1,Assumptions!$P32/12,-(SUMIF($D$2:$EE$2,AS$2-1,$D31:$EE31)/12)*(1+XLOOKUP(AS$2,Assumptions!$C$94:$M$94,Assumptions!$C$98:$M$98))))</f>
        <v>-3066.358712</v>
      </c>
      <c r="AT31" s="54">
        <f t="array" ref="AT31">-(IF(AT$2=1,Assumptions!$P32/12,-(SUMIF($D$2:$EE$2,AT$2-1,$D31:$EE31)/12)*(1+XLOOKUP(AT$2,Assumptions!$C$94:$M$94,Assumptions!$C$98:$M$98))))</f>
        <v>-3066.358712</v>
      </c>
      <c r="AU31" s="54">
        <f t="array" ref="AU31">-(IF(AU$2=1,Assumptions!$P32/12,-(SUMIF($D$2:$EE$2,AU$2-1,$D31:$EE31)/12)*(1+XLOOKUP(AU$2,Assumptions!$C$94:$M$94,Assumptions!$C$98:$M$98))))</f>
        <v>-3066.358712</v>
      </c>
      <c r="AV31" s="54">
        <f t="array" ref="AV31">-(IF(AV$2=1,Assumptions!$P32/12,-(SUMIF($D$2:$EE$2,AV$2-1,$D31:$EE31)/12)*(1+XLOOKUP(AV$2,Assumptions!$C$94:$M$94,Assumptions!$C$98:$M$98))))</f>
        <v>-3066.358712</v>
      </c>
      <c r="AW31" s="54">
        <f t="array" ref="AW31">-(IF(AW$2=1,Assumptions!$P32/12,-(SUMIF($D$2:$EE$2,AW$2-1,$D31:$EE31)/12)*(1+XLOOKUP(AW$2,Assumptions!$C$94:$M$94,Assumptions!$C$98:$M$98))))</f>
        <v>-3066.358712</v>
      </c>
      <c r="AX31" s="54">
        <f t="array" ref="AX31">-(IF(AX$2=1,Assumptions!$P32/12,-(SUMIF($D$2:$EE$2,AX$2-1,$D31:$EE31)/12)*(1+XLOOKUP(AX$2,Assumptions!$C$94:$M$94,Assumptions!$C$98:$M$98))))</f>
        <v>-3066.358712</v>
      </c>
      <c r="AY31" s="54">
        <f t="array" ref="AY31">-(IF(AY$2=1,Assumptions!$P32/12,-(SUMIF($D$2:$EE$2,AY$2-1,$D31:$EE31)/12)*(1+XLOOKUP(AY$2,Assumptions!$C$94:$M$94,Assumptions!$C$98:$M$98))))</f>
        <v>-3066.358712</v>
      </c>
      <c r="AZ31" s="54">
        <f t="array" ref="AZ31">-(IF(AZ$2=1,Assumptions!$P32/12,-(SUMIF($D$2:$EE$2,AZ$2-1,$D31:$EE31)/12)*(1+XLOOKUP(AZ$2,Assumptions!$C$94:$M$94,Assumptions!$C$98:$M$98))))</f>
        <v>-3158.349474</v>
      </c>
      <c r="BA31" s="54">
        <f t="array" ref="BA31">-(IF(BA$2=1,Assumptions!$P32/12,-(SUMIF($D$2:$EE$2,BA$2-1,$D31:$EE31)/12)*(1+XLOOKUP(BA$2,Assumptions!$C$94:$M$94,Assumptions!$C$98:$M$98))))</f>
        <v>-3158.349474</v>
      </c>
      <c r="BB31" s="54">
        <f t="array" ref="BB31">-(IF(BB$2=1,Assumptions!$P32/12,-(SUMIF($D$2:$EE$2,BB$2-1,$D31:$EE31)/12)*(1+XLOOKUP(BB$2,Assumptions!$C$94:$M$94,Assumptions!$C$98:$M$98))))</f>
        <v>-3158.349474</v>
      </c>
      <c r="BC31" s="54">
        <f t="array" ref="BC31">-(IF(BC$2=1,Assumptions!$P32/12,-(SUMIF($D$2:$EE$2,BC$2-1,$D31:$EE31)/12)*(1+XLOOKUP(BC$2,Assumptions!$C$94:$M$94,Assumptions!$C$98:$M$98))))</f>
        <v>-3158.349474</v>
      </c>
      <c r="BD31" s="54">
        <f t="array" ref="BD31">-(IF(BD$2=1,Assumptions!$P32/12,-(SUMIF($D$2:$EE$2,BD$2-1,$D31:$EE31)/12)*(1+XLOOKUP(BD$2,Assumptions!$C$94:$M$94,Assumptions!$C$98:$M$98))))</f>
        <v>-3158.349474</v>
      </c>
      <c r="BE31" s="54">
        <f t="array" ref="BE31">-(IF(BE$2=1,Assumptions!$P32/12,-(SUMIF($D$2:$EE$2,BE$2-1,$D31:$EE31)/12)*(1+XLOOKUP(BE$2,Assumptions!$C$94:$M$94,Assumptions!$C$98:$M$98))))</f>
        <v>-3158.349474</v>
      </c>
      <c r="BF31" s="54">
        <f t="array" ref="BF31">-(IF(BF$2=1,Assumptions!$P32/12,-(SUMIF($D$2:$EE$2,BF$2-1,$D31:$EE31)/12)*(1+XLOOKUP(BF$2,Assumptions!$C$94:$M$94,Assumptions!$C$98:$M$98))))</f>
        <v>-3158.349474</v>
      </c>
      <c r="BG31" s="54">
        <f t="array" ref="BG31">-(IF(BG$2=1,Assumptions!$P32/12,-(SUMIF($D$2:$EE$2,BG$2-1,$D31:$EE31)/12)*(1+XLOOKUP(BG$2,Assumptions!$C$94:$M$94,Assumptions!$C$98:$M$98))))</f>
        <v>-3158.349474</v>
      </c>
      <c r="BH31" s="54">
        <f t="array" ref="BH31">-(IF(BH$2=1,Assumptions!$P32/12,-(SUMIF($D$2:$EE$2,BH$2-1,$D31:$EE31)/12)*(1+XLOOKUP(BH$2,Assumptions!$C$94:$M$94,Assumptions!$C$98:$M$98))))</f>
        <v>-3158.349474</v>
      </c>
      <c r="BI31" s="54">
        <f t="array" ref="BI31">-(IF(BI$2=1,Assumptions!$P32/12,-(SUMIF($D$2:$EE$2,BI$2-1,$D31:$EE31)/12)*(1+XLOOKUP(BI$2,Assumptions!$C$94:$M$94,Assumptions!$C$98:$M$98))))</f>
        <v>-3158.349474</v>
      </c>
      <c r="BJ31" s="54">
        <f t="array" ref="BJ31">-(IF(BJ$2=1,Assumptions!$P32/12,-(SUMIF($D$2:$EE$2,BJ$2-1,$D31:$EE31)/12)*(1+XLOOKUP(BJ$2,Assumptions!$C$94:$M$94,Assumptions!$C$98:$M$98))))</f>
        <v>-3158.349474</v>
      </c>
      <c r="BK31" s="54">
        <f t="array" ref="BK31">-(IF(BK$2=1,Assumptions!$P32/12,-(SUMIF($D$2:$EE$2,BK$2-1,$D31:$EE31)/12)*(1+XLOOKUP(BK$2,Assumptions!$C$94:$M$94,Assumptions!$C$98:$M$98))))</f>
        <v>-3158.349474</v>
      </c>
      <c r="BL31" s="54">
        <f t="array" ref="BL31">-(IF(BL$2=1,Assumptions!$P32/12,-(SUMIF($D$2:$EE$2,BL$2-1,$D31:$EE31)/12)*(1+XLOOKUP(BL$2,Assumptions!$C$94:$M$94,Assumptions!$C$98:$M$98))))</f>
        <v>-3253.099958</v>
      </c>
      <c r="BM31" s="54">
        <f t="array" ref="BM31">-(IF(BM$2=1,Assumptions!$P32/12,-(SUMIF($D$2:$EE$2,BM$2-1,$D31:$EE31)/12)*(1+XLOOKUP(BM$2,Assumptions!$C$94:$M$94,Assumptions!$C$98:$M$98))))</f>
        <v>-3253.099958</v>
      </c>
      <c r="BN31" s="54">
        <f t="array" ref="BN31">-(IF(BN$2=1,Assumptions!$P32/12,-(SUMIF($D$2:$EE$2,BN$2-1,$D31:$EE31)/12)*(1+XLOOKUP(BN$2,Assumptions!$C$94:$M$94,Assumptions!$C$98:$M$98))))</f>
        <v>-3253.099958</v>
      </c>
      <c r="BO31" s="54">
        <f t="array" ref="BO31">-(IF(BO$2=1,Assumptions!$P32/12,-(SUMIF($D$2:$EE$2,BO$2-1,$D31:$EE31)/12)*(1+XLOOKUP(BO$2,Assumptions!$C$94:$M$94,Assumptions!$C$98:$M$98))))</f>
        <v>-3253.099958</v>
      </c>
      <c r="BP31" s="54">
        <f t="array" ref="BP31">-(IF(BP$2=1,Assumptions!$P32/12,-(SUMIF($D$2:$EE$2,BP$2-1,$D31:$EE31)/12)*(1+XLOOKUP(BP$2,Assumptions!$C$94:$M$94,Assumptions!$C$98:$M$98))))</f>
        <v>-3253.099958</v>
      </c>
      <c r="BQ31" s="54">
        <f t="array" ref="BQ31">-(IF(BQ$2=1,Assumptions!$P32/12,-(SUMIF($D$2:$EE$2,BQ$2-1,$D31:$EE31)/12)*(1+XLOOKUP(BQ$2,Assumptions!$C$94:$M$94,Assumptions!$C$98:$M$98))))</f>
        <v>-3253.099958</v>
      </c>
      <c r="BR31" s="54">
        <f t="array" ref="BR31">-(IF(BR$2=1,Assumptions!$P32/12,-(SUMIF($D$2:$EE$2,BR$2-1,$D31:$EE31)/12)*(1+XLOOKUP(BR$2,Assumptions!$C$94:$M$94,Assumptions!$C$98:$M$98))))</f>
        <v>-3253.099958</v>
      </c>
      <c r="BS31" s="54">
        <f t="array" ref="BS31">-(IF(BS$2=1,Assumptions!$P32/12,-(SUMIF($D$2:$EE$2,BS$2-1,$D31:$EE31)/12)*(1+XLOOKUP(BS$2,Assumptions!$C$94:$M$94,Assumptions!$C$98:$M$98))))</f>
        <v>-3253.099958</v>
      </c>
      <c r="BT31" s="54">
        <f t="array" ref="BT31">-(IF(BT$2=1,Assumptions!$P32/12,-(SUMIF($D$2:$EE$2,BT$2-1,$D31:$EE31)/12)*(1+XLOOKUP(BT$2,Assumptions!$C$94:$M$94,Assumptions!$C$98:$M$98))))</f>
        <v>-3253.099958</v>
      </c>
      <c r="BU31" s="54">
        <f t="array" ref="BU31">-(IF(BU$2=1,Assumptions!$P32/12,-(SUMIF($D$2:$EE$2,BU$2-1,$D31:$EE31)/12)*(1+XLOOKUP(BU$2,Assumptions!$C$94:$M$94,Assumptions!$C$98:$M$98))))</f>
        <v>-3253.099958</v>
      </c>
      <c r="BV31" s="54">
        <f t="array" ref="BV31">-(IF(BV$2=1,Assumptions!$P32/12,-(SUMIF($D$2:$EE$2,BV$2-1,$D31:$EE31)/12)*(1+XLOOKUP(BV$2,Assumptions!$C$94:$M$94,Assumptions!$C$98:$M$98))))</f>
        <v>-3253.099958</v>
      </c>
      <c r="BW31" s="54">
        <f t="array" ref="BW31">-(IF(BW$2=1,Assumptions!$P32/12,-(SUMIF($D$2:$EE$2,BW$2-1,$D31:$EE31)/12)*(1+XLOOKUP(BW$2,Assumptions!$C$94:$M$94,Assumptions!$C$98:$M$98))))</f>
        <v>-3253.099958</v>
      </c>
      <c r="BX31" s="54">
        <f t="array" ref="BX31">-(IF(BX$2=1,Assumptions!$P32/12,-(SUMIF($D$2:$EE$2,BX$2-1,$D31:$EE31)/12)*(1+XLOOKUP(BX$2,Assumptions!$C$94:$M$94,Assumptions!$C$98:$M$98))))</f>
        <v>-3350.692956</v>
      </c>
      <c r="BY31" s="54">
        <f t="array" ref="BY31">-(IF(BY$2=1,Assumptions!$P32/12,-(SUMIF($D$2:$EE$2,BY$2-1,$D31:$EE31)/12)*(1+XLOOKUP(BY$2,Assumptions!$C$94:$M$94,Assumptions!$C$98:$M$98))))</f>
        <v>-3350.692956</v>
      </c>
      <c r="BZ31" s="54">
        <f t="array" ref="BZ31">-(IF(BZ$2=1,Assumptions!$P32/12,-(SUMIF($D$2:$EE$2,BZ$2-1,$D31:$EE31)/12)*(1+XLOOKUP(BZ$2,Assumptions!$C$94:$M$94,Assumptions!$C$98:$M$98))))</f>
        <v>-3350.692956</v>
      </c>
      <c r="CA31" s="54">
        <f t="array" ref="CA31">-(IF(CA$2=1,Assumptions!$P32/12,-(SUMIF($D$2:$EE$2,CA$2-1,$D31:$EE31)/12)*(1+XLOOKUP(CA$2,Assumptions!$C$94:$M$94,Assumptions!$C$98:$M$98))))</f>
        <v>-3350.692956</v>
      </c>
      <c r="CB31" s="54">
        <f t="array" ref="CB31">-(IF(CB$2=1,Assumptions!$P32/12,-(SUMIF($D$2:$EE$2,CB$2-1,$D31:$EE31)/12)*(1+XLOOKUP(CB$2,Assumptions!$C$94:$M$94,Assumptions!$C$98:$M$98))))</f>
        <v>-3350.692956</v>
      </c>
      <c r="CC31" s="54">
        <f t="array" ref="CC31">-(IF(CC$2=1,Assumptions!$P32/12,-(SUMIF($D$2:$EE$2,CC$2-1,$D31:$EE31)/12)*(1+XLOOKUP(CC$2,Assumptions!$C$94:$M$94,Assumptions!$C$98:$M$98))))</f>
        <v>-3350.692956</v>
      </c>
      <c r="CD31" s="54">
        <f t="array" ref="CD31">-(IF(CD$2=1,Assumptions!$P32/12,-(SUMIF($D$2:$EE$2,CD$2-1,$D31:$EE31)/12)*(1+XLOOKUP(CD$2,Assumptions!$C$94:$M$94,Assumptions!$C$98:$M$98))))</f>
        <v>-3350.692956</v>
      </c>
      <c r="CE31" s="54">
        <f t="array" ref="CE31">-(IF(CE$2=1,Assumptions!$P32/12,-(SUMIF($D$2:$EE$2,CE$2-1,$D31:$EE31)/12)*(1+XLOOKUP(CE$2,Assumptions!$C$94:$M$94,Assumptions!$C$98:$M$98))))</f>
        <v>-3350.692956</v>
      </c>
      <c r="CF31" s="54">
        <f t="array" ref="CF31">-(IF(CF$2=1,Assumptions!$P32/12,-(SUMIF($D$2:$EE$2,CF$2-1,$D31:$EE31)/12)*(1+XLOOKUP(CF$2,Assumptions!$C$94:$M$94,Assumptions!$C$98:$M$98))))</f>
        <v>-3350.692956</v>
      </c>
      <c r="CG31" s="54">
        <f t="array" ref="CG31">-(IF(CG$2=1,Assumptions!$P32/12,-(SUMIF($D$2:$EE$2,CG$2-1,$D31:$EE31)/12)*(1+XLOOKUP(CG$2,Assumptions!$C$94:$M$94,Assumptions!$C$98:$M$98))))</f>
        <v>-3350.692956</v>
      </c>
      <c r="CH31" s="54">
        <f t="array" ref="CH31">-(IF(CH$2=1,Assumptions!$P32/12,-(SUMIF($D$2:$EE$2,CH$2-1,$D31:$EE31)/12)*(1+XLOOKUP(CH$2,Assumptions!$C$94:$M$94,Assumptions!$C$98:$M$98))))</f>
        <v>-3350.692956</v>
      </c>
      <c r="CI31" s="54">
        <f t="array" ref="CI31">-(IF(CI$2=1,Assumptions!$P32/12,-(SUMIF($D$2:$EE$2,CI$2-1,$D31:$EE31)/12)*(1+XLOOKUP(CI$2,Assumptions!$C$94:$M$94,Assumptions!$C$98:$M$98))))</f>
        <v>-3350.692956</v>
      </c>
      <c r="CJ31" s="54">
        <f t="array" ref="CJ31">-(IF(CJ$2=1,Assumptions!$P32/12,-(SUMIF($D$2:$EE$2,CJ$2-1,$D31:$EE31)/12)*(1+XLOOKUP(CJ$2,Assumptions!$C$94:$M$94,Assumptions!$C$98:$M$98))))</f>
        <v>-3451.213745</v>
      </c>
      <c r="CK31" s="54">
        <f t="array" ref="CK31">-(IF(CK$2=1,Assumptions!$P32/12,-(SUMIF($D$2:$EE$2,CK$2-1,$D31:$EE31)/12)*(1+XLOOKUP(CK$2,Assumptions!$C$94:$M$94,Assumptions!$C$98:$M$98))))</f>
        <v>-3451.213745</v>
      </c>
      <c r="CL31" s="54">
        <f t="array" ref="CL31">-(IF(CL$2=1,Assumptions!$P32/12,-(SUMIF($D$2:$EE$2,CL$2-1,$D31:$EE31)/12)*(1+XLOOKUP(CL$2,Assumptions!$C$94:$M$94,Assumptions!$C$98:$M$98))))</f>
        <v>-3451.213745</v>
      </c>
      <c r="CM31" s="54">
        <f t="array" ref="CM31">-(IF(CM$2=1,Assumptions!$P32/12,-(SUMIF($D$2:$EE$2,CM$2-1,$D31:$EE31)/12)*(1+XLOOKUP(CM$2,Assumptions!$C$94:$M$94,Assumptions!$C$98:$M$98))))</f>
        <v>-3451.213745</v>
      </c>
      <c r="CN31" s="54">
        <f t="array" ref="CN31">-(IF(CN$2=1,Assumptions!$P32/12,-(SUMIF($D$2:$EE$2,CN$2-1,$D31:$EE31)/12)*(1+XLOOKUP(CN$2,Assumptions!$C$94:$M$94,Assumptions!$C$98:$M$98))))</f>
        <v>-3451.213745</v>
      </c>
      <c r="CO31" s="54">
        <f t="array" ref="CO31">-(IF(CO$2=1,Assumptions!$P32/12,-(SUMIF($D$2:$EE$2,CO$2-1,$D31:$EE31)/12)*(1+XLOOKUP(CO$2,Assumptions!$C$94:$M$94,Assumptions!$C$98:$M$98))))</f>
        <v>-3451.213745</v>
      </c>
      <c r="CP31" s="54">
        <f t="array" ref="CP31">-(IF(CP$2=1,Assumptions!$P32/12,-(SUMIF($D$2:$EE$2,CP$2-1,$D31:$EE31)/12)*(1+XLOOKUP(CP$2,Assumptions!$C$94:$M$94,Assumptions!$C$98:$M$98))))</f>
        <v>-3451.213745</v>
      </c>
      <c r="CQ31" s="54">
        <f t="array" ref="CQ31">-(IF(CQ$2=1,Assumptions!$P32/12,-(SUMIF($D$2:$EE$2,CQ$2-1,$D31:$EE31)/12)*(1+XLOOKUP(CQ$2,Assumptions!$C$94:$M$94,Assumptions!$C$98:$M$98))))</f>
        <v>-3451.213745</v>
      </c>
      <c r="CR31" s="54">
        <f t="array" ref="CR31">-(IF(CR$2=1,Assumptions!$P32/12,-(SUMIF($D$2:$EE$2,CR$2-1,$D31:$EE31)/12)*(1+XLOOKUP(CR$2,Assumptions!$C$94:$M$94,Assumptions!$C$98:$M$98))))</f>
        <v>-3451.213745</v>
      </c>
      <c r="CS31" s="54">
        <f t="array" ref="CS31">-(IF(CS$2=1,Assumptions!$P32/12,-(SUMIF($D$2:$EE$2,CS$2-1,$D31:$EE31)/12)*(1+XLOOKUP(CS$2,Assumptions!$C$94:$M$94,Assumptions!$C$98:$M$98))))</f>
        <v>-3451.213745</v>
      </c>
      <c r="CT31" s="54">
        <f t="array" ref="CT31">-(IF(CT$2=1,Assumptions!$P32/12,-(SUMIF($D$2:$EE$2,CT$2-1,$D31:$EE31)/12)*(1+XLOOKUP(CT$2,Assumptions!$C$94:$M$94,Assumptions!$C$98:$M$98))))</f>
        <v>-3451.213745</v>
      </c>
      <c r="CU31" s="54">
        <f t="array" ref="CU31">-(IF(CU$2=1,Assumptions!$P32/12,-(SUMIF($D$2:$EE$2,CU$2-1,$D31:$EE31)/12)*(1+XLOOKUP(CU$2,Assumptions!$C$94:$M$94,Assumptions!$C$98:$M$98))))</f>
        <v>-3451.213745</v>
      </c>
      <c r="CV31" s="54">
        <f t="array" ref="CV31">-(IF(CV$2=1,Assumptions!$P32/12,-(SUMIF($D$2:$EE$2,CV$2-1,$D31:$EE31)/12)*(1+XLOOKUP(CV$2,Assumptions!$C$94:$M$94,Assumptions!$C$98:$M$98))))</f>
        <v>-3554.750157</v>
      </c>
      <c r="CW31" s="54">
        <f t="array" ref="CW31">-(IF(CW$2=1,Assumptions!$P32/12,-(SUMIF($D$2:$EE$2,CW$2-1,$D31:$EE31)/12)*(1+XLOOKUP(CW$2,Assumptions!$C$94:$M$94,Assumptions!$C$98:$M$98))))</f>
        <v>-3554.750157</v>
      </c>
      <c r="CX31" s="54">
        <f t="array" ref="CX31">-(IF(CX$2=1,Assumptions!$P32/12,-(SUMIF($D$2:$EE$2,CX$2-1,$D31:$EE31)/12)*(1+XLOOKUP(CX$2,Assumptions!$C$94:$M$94,Assumptions!$C$98:$M$98))))</f>
        <v>-3554.750157</v>
      </c>
      <c r="CY31" s="54">
        <f t="array" ref="CY31">-(IF(CY$2=1,Assumptions!$P32/12,-(SUMIF($D$2:$EE$2,CY$2-1,$D31:$EE31)/12)*(1+XLOOKUP(CY$2,Assumptions!$C$94:$M$94,Assumptions!$C$98:$M$98))))</f>
        <v>-3554.750157</v>
      </c>
      <c r="CZ31" s="54">
        <f t="array" ref="CZ31">-(IF(CZ$2=1,Assumptions!$P32/12,-(SUMIF($D$2:$EE$2,CZ$2-1,$D31:$EE31)/12)*(1+XLOOKUP(CZ$2,Assumptions!$C$94:$M$94,Assumptions!$C$98:$M$98))))</f>
        <v>-3554.750157</v>
      </c>
      <c r="DA31" s="54">
        <f t="array" ref="DA31">-(IF(DA$2=1,Assumptions!$P32/12,-(SUMIF($D$2:$EE$2,DA$2-1,$D31:$EE31)/12)*(1+XLOOKUP(DA$2,Assumptions!$C$94:$M$94,Assumptions!$C$98:$M$98))))</f>
        <v>-3554.750157</v>
      </c>
      <c r="DB31" s="54">
        <f t="array" ref="DB31">-(IF(DB$2=1,Assumptions!$P32/12,-(SUMIF($D$2:$EE$2,DB$2-1,$D31:$EE31)/12)*(1+XLOOKUP(DB$2,Assumptions!$C$94:$M$94,Assumptions!$C$98:$M$98))))</f>
        <v>-3554.750157</v>
      </c>
      <c r="DC31" s="54">
        <f t="array" ref="DC31">-(IF(DC$2=1,Assumptions!$P32/12,-(SUMIF($D$2:$EE$2,DC$2-1,$D31:$EE31)/12)*(1+XLOOKUP(DC$2,Assumptions!$C$94:$M$94,Assumptions!$C$98:$M$98))))</f>
        <v>-3554.750157</v>
      </c>
      <c r="DD31" s="54">
        <f t="array" ref="DD31">-(IF(DD$2=1,Assumptions!$P32/12,-(SUMIF($D$2:$EE$2,DD$2-1,$D31:$EE31)/12)*(1+XLOOKUP(DD$2,Assumptions!$C$94:$M$94,Assumptions!$C$98:$M$98))))</f>
        <v>-3554.750157</v>
      </c>
      <c r="DE31" s="54">
        <f t="array" ref="DE31">-(IF(DE$2=1,Assumptions!$P32/12,-(SUMIF($D$2:$EE$2,DE$2-1,$D31:$EE31)/12)*(1+XLOOKUP(DE$2,Assumptions!$C$94:$M$94,Assumptions!$C$98:$M$98))))</f>
        <v>-3554.750157</v>
      </c>
      <c r="DF31" s="54">
        <f t="array" ref="DF31">-(IF(DF$2=1,Assumptions!$P32/12,-(SUMIF($D$2:$EE$2,DF$2-1,$D31:$EE31)/12)*(1+XLOOKUP(DF$2,Assumptions!$C$94:$M$94,Assumptions!$C$98:$M$98))))</f>
        <v>-3554.750157</v>
      </c>
      <c r="DG31" s="54">
        <f t="array" ref="DG31">-(IF(DG$2=1,Assumptions!$P32/12,-(SUMIF($D$2:$EE$2,DG$2-1,$D31:$EE31)/12)*(1+XLOOKUP(DG$2,Assumptions!$C$94:$M$94,Assumptions!$C$98:$M$98))))</f>
        <v>-3554.750157</v>
      </c>
      <c r="DH31" s="54">
        <f t="array" ref="DH31">-(IF(DH$2=1,Assumptions!$P32/12,-(SUMIF($D$2:$EE$2,DH$2-1,$D31:$EE31)/12)*(1+XLOOKUP(DH$2,Assumptions!$C$94:$M$94,Assumptions!$C$98:$M$98))))</f>
        <v>-3661.392662</v>
      </c>
      <c r="DI31" s="54">
        <f t="array" ref="DI31">-(IF(DI$2=1,Assumptions!$P32/12,-(SUMIF($D$2:$EE$2,DI$2-1,$D31:$EE31)/12)*(1+XLOOKUP(DI$2,Assumptions!$C$94:$M$94,Assumptions!$C$98:$M$98))))</f>
        <v>-3661.392662</v>
      </c>
      <c r="DJ31" s="54">
        <f t="array" ref="DJ31">-(IF(DJ$2=1,Assumptions!$P32/12,-(SUMIF($D$2:$EE$2,DJ$2-1,$D31:$EE31)/12)*(1+XLOOKUP(DJ$2,Assumptions!$C$94:$M$94,Assumptions!$C$98:$M$98))))</f>
        <v>-3661.392662</v>
      </c>
      <c r="DK31" s="54">
        <f t="array" ref="DK31">-(IF(DK$2=1,Assumptions!$P32/12,-(SUMIF($D$2:$EE$2,DK$2-1,$D31:$EE31)/12)*(1+XLOOKUP(DK$2,Assumptions!$C$94:$M$94,Assumptions!$C$98:$M$98))))</f>
        <v>-3661.392662</v>
      </c>
      <c r="DL31" s="54">
        <f t="array" ref="DL31">-(IF(DL$2=1,Assumptions!$P32/12,-(SUMIF($D$2:$EE$2,DL$2-1,$D31:$EE31)/12)*(1+XLOOKUP(DL$2,Assumptions!$C$94:$M$94,Assumptions!$C$98:$M$98))))</f>
        <v>-3661.392662</v>
      </c>
      <c r="DM31" s="54">
        <f t="array" ref="DM31">-(IF(DM$2=1,Assumptions!$P32/12,-(SUMIF($D$2:$EE$2,DM$2-1,$D31:$EE31)/12)*(1+XLOOKUP(DM$2,Assumptions!$C$94:$M$94,Assumptions!$C$98:$M$98))))</f>
        <v>-3661.392662</v>
      </c>
      <c r="DN31" s="54">
        <f t="array" ref="DN31">-(IF(DN$2=1,Assumptions!$P32/12,-(SUMIF($D$2:$EE$2,DN$2-1,$D31:$EE31)/12)*(1+XLOOKUP(DN$2,Assumptions!$C$94:$M$94,Assumptions!$C$98:$M$98))))</f>
        <v>-3661.392662</v>
      </c>
      <c r="DO31" s="54">
        <f t="array" ref="DO31">-(IF(DO$2=1,Assumptions!$P32/12,-(SUMIF($D$2:$EE$2,DO$2-1,$D31:$EE31)/12)*(1+XLOOKUP(DO$2,Assumptions!$C$94:$M$94,Assumptions!$C$98:$M$98))))</f>
        <v>-3661.392662</v>
      </c>
      <c r="DP31" s="54">
        <f t="array" ref="DP31">-(IF(DP$2=1,Assumptions!$P32/12,-(SUMIF($D$2:$EE$2,DP$2-1,$D31:$EE31)/12)*(1+XLOOKUP(DP$2,Assumptions!$C$94:$M$94,Assumptions!$C$98:$M$98))))</f>
        <v>-3661.392662</v>
      </c>
      <c r="DQ31" s="54">
        <f t="array" ref="DQ31">-(IF(DQ$2=1,Assumptions!$P32/12,-(SUMIF($D$2:$EE$2,DQ$2-1,$D31:$EE31)/12)*(1+XLOOKUP(DQ$2,Assumptions!$C$94:$M$94,Assumptions!$C$98:$M$98))))</f>
        <v>-3661.392662</v>
      </c>
      <c r="DR31" s="54">
        <f t="array" ref="DR31">-(IF(DR$2=1,Assumptions!$P32/12,-(SUMIF($D$2:$EE$2,DR$2-1,$D31:$EE31)/12)*(1+XLOOKUP(DR$2,Assumptions!$C$94:$M$94,Assumptions!$C$98:$M$98))))</f>
        <v>-3661.392662</v>
      </c>
      <c r="DS31" s="54">
        <f t="array" ref="DS31">-(IF(DS$2=1,Assumptions!$P32/12,-(SUMIF($D$2:$EE$2,DS$2-1,$D31:$EE31)/12)*(1+XLOOKUP(DS$2,Assumptions!$C$94:$M$94,Assumptions!$C$98:$M$98))))</f>
        <v>-3661.392662</v>
      </c>
      <c r="DT31" s="54">
        <f t="array" ref="DT31">-(IF(DT$2=1,Assumptions!$P32/12,-(SUMIF($D$2:$EE$2,DT$2-1,$D31:$EE31)/12)*(1+XLOOKUP(DT$2,Assumptions!$C$94:$M$94,Assumptions!$C$98:$M$98))))</f>
        <v>-3771.234442</v>
      </c>
      <c r="DU31" s="54">
        <f t="array" ref="DU31">-(IF(DU$2=1,Assumptions!$P32/12,-(SUMIF($D$2:$EE$2,DU$2-1,$D31:$EE31)/12)*(1+XLOOKUP(DU$2,Assumptions!$C$94:$M$94,Assumptions!$C$98:$M$98))))</f>
        <v>-3771.234442</v>
      </c>
      <c r="DV31" s="54">
        <f t="array" ref="DV31">-(IF(DV$2=1,Assumptions!$P32/12,-(SUMIF($D$2:$EE$2,DV$2-1,$D31:$EE31)/12)*(1+XLOOKUP(DV$2,Assumptions!$C$94:$M$94,Assumptions!$C$98:$M$98))))</f>
        <v>-3771.234442</v>
      </c>
      <c r="DW31" s="54">
        <f t="array" ref="DW31">-(IF(DW$2=1,Assumptions!$P32/12,-(SUMIF($D$2:$EE$2,DW$2-1,$D31:$EE31)/12)*(1+XLOOKUP(DW$2,Assumptions!$C$94:$M$94,Assumptions!$C$98:$M$98))))</f>
        <v>-3771.234442</v>
      </c>
      <c r="DX31" s="54">
        <f t="array" ref="DX31">-(IF(DX$2=1,Assumptions!$P32/12,-(SUMIF($D$2:$EE$2,DX$2-1,$D31:$EE31)/12)*(1+XLOOKUP(DX$2,Assumptions!$C$94:$M$94,Assumptions!$C$98:$M$98))))</f>
        <v>-3771.234442</v>
      </c>
      <c r="DY31" s="54">
        <f t="array" ref="DY31">-(IF(DY$2=1,Assumptions!$P32/12,-(SUMIF($D$2:$EE$2,DY$2-1,$D31:$EE31)/12)*(1+XLOOKUP(DY$2,Assumptions!$C$94:$M$94,Assumptions!$C$98:$M$98))))</f>
        <v>-3771.234442</v>
      </c>
      <c r="DZ31" s="54">
        <f t="array" ref="DZ31">-(IF(DZ$2=1,Assumptions!$P32/12,-(SUMIF($D$2:$EE$2,DZ$2-1,$D31:$EE31)/12)*(1+XLOOKUP(DZ$2,Assumptions!$C$94:$M$94,Assumptions!$C$98:$M$98))))</f>
        <v>-3771.234442</v>
      </c>
      <c r="EA31" s="54">
        <f t="array" ref="EA31">-(IF(EA$2=1,Assumptions!$P32/12,-(SUMIF($D$2:$EE$2,EA$2-1,$D31:$EE31)/12)*(1+XLOOKUP(EA$2,Assumptions!$C$94:$M$94,Assumptions!$C$98:$M$98))))</f>
        <v>-3771.234442</v>
      </c>
      <c r="EB31" s="54">
        <f t="array" ref="EB31">-(IF(EB$2=1,Assumptions!$P32/12,-(SUMIF($D$2:$EE$2,EB$2-1,$D31:$EE31)/12)*(1+XLOOKUP(EB$2,Assumptions!$C$94:$M$94,Assumptions!$C$98:$M$98))))</f>
        <v>-3771.234442</v>
      </c>
      <c r="EC31" s="54">
        <f t="array" ref="EC31">-(IF(EC$2=1,Assumptions!$P32/12,-(SUMIF($D$2:$EE$2,EC$2-1,$D31:$EE31)/12)*(1+XLOOKUP(EC$2,Assumptions!$C$94:$M$94,Assumptions!$C$98:$M$98))))</f>
        <v>-3771.234442</v>
      </c>
      <c r="ED31" s="54">
        <f t="array" ref="ED31">-(IF(ED$2=1,Assumptions!$P32/12,-(SUMIF($D$2:$EE$2,ED$2-1,$D31:$EE31)/12)*(1+XLOOKUP(ED$2,Assumptions!$C$94:$M$94,Assumptions!$C$98:$M$98))))</f>
        <v>-3771.234442</v>
      </c>
      <c r="EE31" s="54">
        <f t="array" ref="EE31">-(IF(EE$2=1,Assumptions!$P32/12,-(SUMIF($D$2:$EE$2,EE$2-1,$D31:$EE31)/12)*(1+XLOOKUP(EE$2,Assumptions!$C$94:$M$94,Assumptions!$C$98:$M$98))))</f>
        <v>-3771.234442</v>
      </c>
    </row>
    <row r="32" ht="15.75" customHeight="1">
      <c r="A32" s="1"/>
      <c r="B32" s="1"/>
      <c r="C32" s="1" t="str">
        <f>Assumptions!J33</f>
        <v>Turnaround Expense</v>
      </c>
      <c r="D32" s="54">
        <f t="array" ref="D32">-(IF(D$2=1,Assumptions!$P33/12,-(SUMIF($D$2:$EE$2,D$2-1,$D32:$EE32)/12)*(1+XLOOKUP(D$2,Assumptions!$C$94:$M$94,Assumptions!$C$98:$M$98))))</f>
        <v>-3333.3375</v>
      </c>
      <c r="E32" s="54">
        <f t="array" ref="E32">-(IF(E$2=1,Assumptions!$P33/12,-(SUMIF($D$2:$EE$2,E$2-1,$D32:$EE32)/12)*(1+XLOOKUP(E$2,Assumptions!$C$94:$M$94,Assumptions!$C$98:$M$98))))</f>
        <v>-3333.3375</v>
      </c>
      <c r="F32" s="54">
        <f t="array" ref="F32">-(IF(F$2=1,Assumptions!$P33/12,-(SUMIF($D$2:$EE$2,F$2-1,$D32:$EE32)/12)*(1+XLOOKUP(F$2,Assumptions!$C$94:$M$94,Assumptions!$C$98:$M$98))))</f>
        <v>-3333.3375</v>
      </c>
      <c r="G32" s="54">
        <f t="array" ref="G32">-(IF(G$2=1,Assumptions!$P33/12,-(SUMIF($D$2:$EE$2,G$2-1,$D32:$EE32)/12)*(1+XLOOKUP(G$2,Assumptions!$C$94:$M$94,Assumptions!$C$98:$M$98))))</f>
        <v>-3333.3375</v>
      </c>
      <c r="H32" s="54">
        <f t="array" ref="H32">-(IF(H$2=1,Assumptions!$P33/12,-(SUMIF($D$2:$EE$2,H$2-1,$D32:$EE32)/12)*(1+XLOOKUP(H$2,Assumptions!$C$94:$M$94,Assumptions!$C$98:$M$98))))</f>
        <v>-3333.3375</v>
      </c>
      <c r="I32" s="54">
        <f t="array" ref="I32">-(IF(I$2=1,Assumptions!$P33/12,-(SUMIF($D$2:$EE$2,I$2-1,$D32:$EE32)/12)*(1+XLOOKUP(I$2,Assumptions!$C$94:$M$94,Assumptions!$C$98:$M$98))))</f>
        <v>-3333.3375</v>
      </c>
      <c r="J32" s="54">
        <f t="array" ref="J32">-(IF(J$2=1,Assumptions!$P33/12,-(SUMIF($D$2:$EE$2,J$2-1,$D32:$EE32)/12)*(1+XLOOKUP(J$2,Assumptions!$C$94:$M$94,Assumptions!$C$98:$M$98))))</f>
        <v>-3333.3375</v>
      </c>
      <c r="K32" s="54">
        <f t="array" ref="K32">-(IF(K$2=1,Assumptions!$P33/12,-(SUMIF($D$2:$EE$2,K$2-1,$D32:$EE32)/12)*(1+XLOOKUP(K$2,Assumptions!$C$94:$M$94,Assumptions!$C$98:$M$98))))</f>
        <v>-3333.3375</v>
      </c>
      <c r="L32" s="54">
        <f t="array" ref="L32">-(IF(L$2=1,Assumptions!$P33/12,-(SUMIF($D$2:$EE$2,L$2-1,$D32:$EE32)/12)*(1+XLOOKUP(L$2,Assumptions!$C$94:$M$94,Assumptions!$C$98:$M$98))))</f>
        <v>-3333.3375</v>
      </c>
      <c r="M32" s="54">
        <f t="array" ref="M32">-(IF(M$2=1,Assumptions!$P33/12,-(SUMIF($D$2:$EE$2,M$2-1,$D32:$EE32)/12)*(1+XLOOKUP(M$2,Assumptions!$C$94:$M$94,Assumptions!$C$98:$M$98))))</f>
        <v>-3333.3375</v>
      </c>
      <c r="N32" s="54">
        <f t="array" ref="N32">-(IF(N$2=1,Assumptions!$P33/12,-(SUMIF($D$2:$EE$2,N$2-1,$D32:$EE32)/12)*(1+XLOOKUP(N$2,Assumptions!$C$94:$M$94,Assumptions!$C$98:$M$98))))</f>
        <v>-3333.3375</v>
      </c>
      <c r="O32" s="54">
        <f t="array" ref="O32">-(IF(O$2=1,Assumptions!$P33/12,-(SUMIF($D$2:$EE$2,O$2-1,$D32:$EE32)/12)*(1+XLOOKUP(O$2,Assumptions!$C$94:$M$94,Assumptions!$C$98:$M$98))))</f>
        <v>-3333.3375</v>
      </c>
      <c r="P32" s="54">
        <f t="array" ref="P32">-(IF(P$2=1,Assumptions!$P33/12,-(SUMIF($D$2:$EE$2,P$2-1,$D32:$EE32)/12)*(1+XLOOKUP(P$2,Assumptions!$C$94:$M$94,Assumptions!$C$98:$M$98))))</f>
        <v>-3433.337625</v>
      </c>
      <c r="Q32" s="54">
        <f t="array" ref="Q32">-(IF(Q$2=1,Assumptions!$P33/12,-(SUMIF($D$2:$EE$2,Q$2-1,$D32:$EE32)/12)*(1+XLOOKUP(Q$2,Assumptions!$C$94:$M$94,Assumptions!$C$98:$M$98))))</f>
        <v>-3433.337625</v>
      </c>
      <c r="R32" s="54">
        <f t="array" ref="R32">-(IF(R$2=1,Assumptions!$P33/12,-(SUMIF($D$2:$EE$2,R$2-1,$D32:$EE32)/12)*(1+XLOOKUP(R$2,Assumptions!$C$94:$M$94,Assumptions!$C$98:$M$98))))</f>
        <v>-3433.337625</v>
      </c>
      <c r="S32" s="54">
        <f t="array" ref="S32">-(IF(S$2=1,Assumptions!$P33/12,-(SUMIF($D$2:$EE$2,S$2-1,$D32:$EE32)/12)*(1+XLOOKUP(S$2,Assumptions!$C$94:$M$94,Assumptions!$C$98:$M$98))))</f>
        <v>-3433.337625</v>
      </c>
      <c r="T32" s="54">
        <f t="array" ref="T32">-(IF(T$2=1,Assumptions!$P33/12,-(SUMIF($D$2:$EE$2,T$2-1,$D32:$EE32)/12)*(1+XLOOKUP(T$2,Assumptions!$C$94:$M$94,Assumptions!$C$98:$M$98))))</f>
        <v>-3433.337625</v>
      </c>
      <c r="U32" s="54">
        <f t="array" ref="U32">-(IF(U$2=1,Assumptions!$P33/12,-(SUMIF($D$2:$EE$2,U$2-1,$D32:$EE32)/12)*(1+XLOOKUP(U$2,Assumptions!$C$94:$M$94,Assumptions!$C$98:$M$98))))</f>
        <v>-3433.337625</v>
      </c>
      <c r="V32" s="54">
        <f t="array" ref="V32">-(IF(V$2=1,Assumptions!$P33/12,-(SUMIF($D$2:$EE$2,V$2-1,$D32:$EE32)/12)*(1+XLOOKUP(V$2,Assumptions!$C$94:$M$94,Assumptions!$C$98:$M$98))))</f>
        <v>-3433.337625</v>
      </c>
      <c r="W32" s="54">
        <f t="array" ref="W32">-(IF(W$2=1,Assumptions!$P33/12,-(SUMIF($D$2:$EE$2,W$2-1,$D32:$EE32)/12)*(1+XLOOKUP(W$2,Assumptions!$C$94:$M$94,Assumptions!$C$98:$M$98))))</f>
        <v>-3433.337625</v>
      </c>
      <c r="X32" s="54">
        <f t="array" ref="X32">-(IF(X$2=1,Assumptions!$P33/12,-(SUMIF($D$2:$EE$2,X$2-1,$D32:$EE32)/12)*(1+XLOOKUP(X$2,Assumptions!$C$94:$M$94,Assumptions!$C$98:$M$98))))</f>
        <v>-3433.337625</v>
      </c>
      <c r="Y32" s="54">
        <f t="array" ref="Y32">-(IF(Y$2=1,Assumptions!$P33/12,-(SUMIF($D$2:$EE$2,Y$2-1,$D32:$EE32)/12)*(1+XLOOKUP(Y$2,Assumptions!$C$94:$M$94,Assumptions!$C$98:$M$98))))</f>
        <v>-3433.337625</v>
      </c>
      <c r="Z32" s="54">
        <f t="array" ref="Z32">-(IF(Z$2=1,Assumptions!$P33/12,-(SUMIF($D$2:$EE$2,Z$2-1,$D32:$EE32)/12)*(1+XLOOKUP(Z$2,Assumptions!$C$94:$M$94,Assumptions!$C$98:$M$98))))</f>
        <v>-3433.337625</v>
      </c>
      <c r="AA32" s="54">
        <f t="array" ref="AA32">-(IF(AA$2=1,Assumptions!$P33/12,-(SUMIF($D$2:$EE$2,AA$2-1,$D32:$EE32)/12)*(1+XLOOKUP(AA$2,Assumptions!$C$94:$M$94,Assumptions!$C$98:$M$98))))</f>
        <v>-3433.337625</v>
      </c>
      <c r="AB32" s="54">
        <f t="array" ref="AB32">-(IF(AB$2=1,Assumptions!$P33/12,-(SUMIF($D$2:$EE$2,AB$2-1,$D32:$EE32)/12)*(1+XLOOKUP(AB$2,Assumptions!$C$94:$M$94,Assumptions!$C$98:$M$98))))</f>
        <v>-3536.337754</v>
      </c>
      <c r="AC32" s="54">
        <f t="array" ref="AC32">-(IF(AC$2=1,Assumptions!$P33/12,-(SUMIF($D$2:$EE$2,AC$2-1,$D32:$EE32)/12)*(1+XLOOKUP(AC$2,Assumptions!$C$94:$M$94,Assumptions!$C$98:$M$98))))</f>
        <v>-3536.337754</v>
      </c>
      <c r="AD32" s="54">
        <f t="array" ref="AD32">-(IF(AD$2=1,Assumptions!$P33/12,-(SUMIF($D$2:$EE$2,AD$2-1,$D32:$EE32)/12)*(1+XLOOKUP(AD$2,Assumptions!$C$94:$M$94,Assumptions!$C$98:$M$98))))</f>
        <v>-3536.337754</v>
      </c>
      <c r="AE32" s="54">
        <f t="array" ref="AE32">-(IF(AE$2=1,Assumptions!$P33/12,-(SUMIF($D$2:$EE$2,AE$2-1,$D32:$EE32)/12)*(1+XLOOKUP(AE$2,Assumptions!$C$94:$M$94,Assumptions!$C$98:$M$98))))</f>
        <v>-3536.337754</v>
      </c>
      <c r="AF32" s="54">
        <f t="array" ref="AF32">-(IF(AF$2=1,Assumptions!$P33/12,-(SUMIF($D$2:$EE$2,AF$2-1,$D32:$EE32)/12)*(1+XLOOKUP(AF$2,Assumptions!$C$94:$M$94,Assumptions!$C$98:$M$98))))</f>
        <v>-3536.337754</v>
      </c>
      <c r="AG32" s="54">
        <f t="array" ref="AG32">-(IF(AG$2=1,Assumptions!$P33/12,-(SUMIF($D$2:$EE$2,AG$2-1,$D32:$EE32)/12)*(1+XLOOKUP(AG$2,Assumptions!$C$94:$M$94,Assumptions!$C$98:$M$98))))</f>
        <v>-3536.337754</v>
      </c>
      <c r="AH32" s="54">
        <f t="array" ref="AH32">-(IF(AH$2=1,Assumptions!$P33/12,-(SUMIF($D$2:$EE$2,AH$2-1,$D32:$EE32)/12)*(1+XLOOKUP(AH$2,Assumptions!$C$94:$M$94,Assumptions!$C$98:$M$98))))</f>
        <v>-3536.337754</v>
      </c>
      <c r="AI32" s="54">
        <f t="array" ref="AI32">-(IF(AI$2=1,Assumptions!$P33/12,-(SUMIF($D$2:$EE$2,AI$2-1,$D32:$EE32)/12)*(1+XLOOKUP(AI$2,Assumptions!$C$94:$M$94,Assumptions!$C$98:$M$98))))</f>
        <v>-3536.337754</v>
      </c>
      <c r="AJ32" s="54">
        <f t="array" ref="AJ32">-(IF(AJ$2=1,Assumptions!$P33/12,-(SUMIF($D$2:$EE$2,AJ$2-1,$D32:$EE32)/12)*(1+XLOOKUP(AJ$2,Assumptions!$C$94:$M$94,Assumptions!$C$98:$M$98))))</f>
        <v>-3536.337754</v>
      </c>
      <c r="AK32" s="54">
        <f t="array" ref="AK32">-(IF(AK$2=1,Assumptions!$P33/12,-(SUMIF($D$2:$EE$2,AK$2-1,$D32:$EE32)/12)*(1+XLOOKUP(AK$2,Assumptions!$C$94:$M$94,Assumptions!$C$98:$M$98))))</f>
        <v>-3536.337754</v>
      </c>
      <c r="AL32" s="54">
        <f t="array" ref="AL32">-(IF(AL$2=1,Assumptions!$P33/12,-(SUMIF($D$2:$EE$2,AL$2-1,$D32:$EE32)/12)*(1+XLOOKUP(AL$2,Assumptions!$C$94:$M$94,Assumptions!$C$98:$M$98))))</f>
        <v>-3536.337754</v>
      </c>
      <c r="AM32" s="54">
        <f t="array" ref="AM32">-(IF(AM$2=1,Assumptions!$P33/12,-(SUMIF($D$2:$EE$2,AM$2-1,$D32:$EE32)/12)*(1+XLOOKUP(AM$2,Assumptions!$C$94:$M$94,Assumptions!$C$98:$M$98))))</f>
        <v>-3536.337754</v>
      </c>
      <c r="AN32" s="54">
        <f t="array" ref="AN32">-(IF(AN$2=1,Assumptions!$P33/12,-(SUMIF($D$2:$EE$2,AN$2-1,$D32:$EE32)/12)*(1+XLOOKUP(AN$2,Assumptions!$C$94:$M$94,Assumptions!$C$98:$M$98))))</f>
        <v>-3642.427886</v>
      </c>
      <c r="AO32" s="54">
        <f t="array" ref="AO32">-(IF(AO$2=1,Assumptions!$P33/12,-(SUMIF($D$2:$EE$2,AO$2-1,$D32:$EE32)/12)*(1+XLOOKUP(AO$2,Assumptions!$C$94:$M$94,Assumptions!$C$98:$M$98))))</f>
        <v>-3642.427886</v>
      </c>
      <c r="AP32" s="54">
        <f t="array" ref="AP32">-(IF(AP$2=1,Assumptions!$P33/12,-(SUMIF($D$2:$EE$2,AP$2-1,$D32:$EE32)/12)*(1+XLOOKUP(AP$2,Assumptions!$C$94:$M$94,Assumptions!$C$98:$M$98))))</f>
        <v>-3642.427886</v>
      </c>
      <c r="AQ32" s="54">
        <f t="array" ref="AQ32">-(IF(AQ$2=1,Assumptions!$P33/12,-(SUMIF($D$2:$EE$2,AQ$2-1,$D32:$EE32)/12)*(1+XLOOKUP(AQ$2,Assumptions!$C$94:$M$94,Assumptions!$C$98:$M$98))))</f>
        <v>-3642.427886</v>
      </c>
      <c r="AR32" s="54">
        <f t="array" ref="AR32">-(IF(AR$2=1,Assumptions!$P33/12,-(SUMIF($D$2:$EE$2,AR$2-1,$D32:$EE32)/12)*(1+XLOOKUP(AR$2,Assumptions!$C$94:$M$94,Assumptions!$C$98:$M$98))))</f>
        <v>-3642.427886</v>
      </c>
      <c r="AS32" s="54">
        <f t="array" ref="AS32">-(IF(AS$2=1,Assumptions!$P33/12,-(SUMIF($D$2:$EE$2,AS$2-1,$D32:$EE32)/12)*(1+XLOOKUP(AS$2,Assumptions!$C$94:$M$94,Assumptions!$C$98:$M$98))))</f>
        <v>-3642.427886</v>
      </c>
      <c r="AT32" s="54">
        <f t="array" ref="AT32">-(IF(AT$2=1,Assumptions!$P33/12,-(SUMIF($D$2:$EE$2,AT$2-1,$D32:$EE32)/12)*(1+XLOOKUP(AT$2,Assumptions!$C$94:$M$94,Assumptions!$C$98:$M$98))))</f>
        <v>-3642.427886</v>
      </c>
      <c r="AU32" s="54">
        <f t="array" ref="AU32">-(IF(AU$2=1,Assumptions!$P33/12,-(SUMIF($D$2:$EE$2,AU$2-1,$D32:$EE32)/12)*(1+XLOOKUP(AU$2,Assumptions!$C$94:$M$94,Assumptions!$C$98:$M$98))))</f>
        <v>-3642.427886</v>
      </c>
      <c r="AV32" s="54">
        <f t="array" ref="AV32">-(IF(AV$2=1,Assumptions!$P33/12,-(SUMIF($D$2:$EE$2,AV$2-1,$D32:$EE32)/12)*(1+XLOOKUP(AV$2,Assumptions!$C$94:$M$94,Assumptions!$C$98:$M$98))))</f>
        <v>-3642.427886</v>
      </c>
      <c r="AW32" s="54">
        <f t="array" ref="AW32">-(IF(AW$2=1,Assumptions!$P33/12,-(SUMIF($D$2:$EE$2,AW$2-1,$D32:$EE32)/12)*(1+XLOOKUP(AW$2,Assumptions!$C$94:$M$94,Assumptions!$C$98:$M$98))))</f>
        <v>-3642.427886</v>
      </c>
      <c r="AX32" s="54">
        <f t="array" ref="AX32">-(IF(AX$2=1,Assumptions!$P33/12,-(SUMIF($D$2:$EE$2,AX$2-1,$D32:$EE32)/12)*(1+XLOOKUP(AX$2,Assumptions!$C$94:$M$94,Assumptions!$C$98:$M$98))))</f>
        <v>-3642.427886</v>
      </c>
      <c r="AY32" s="54">
        <f t="array" ref="AY32">-(IF(AY$2=1,Assumptions!$P33/12,-(SUMIF($D$2:$EE$2,AY$2-1,$D32:$EE32)/12)*(1+XLOOKUP(AY$2,Assumptions!$C$94:$M$94,Assumptions!$C$98:$M$98))))</f>
        <v>-3642.427886</v>
      </c>
      <c r="AZ32" s="54">
        <f t="array" ref="AZ32">-(IF(AZ$2=1,Assumptions!$P33/12,-(SUMIF($D$2:$EE$2,AZ$2-1,$D32:$EE32)/12)*(1+XLOOKUP(AZ$2,Assumptions!$C$94:$M$94,Assumptions!$C$98:$M$98))))</f>
        <v>-3751.700723</v>
      </c>
      <c r="BA32" s="54">
        <f t="array" ref="BA32">-(IF(BA$2=1,Assumptions!$P33/12,-(SUMIF($D$2:$EE$2,BA$2-1,$D32:$EE32)/12)*(1+XLOOKUP(BA$2,Assumptions!$C$94:$M$94,Assumptions!$C$98:$M$98))))</f>
        <v>-3751.700723</v>
      </c>
      <c r="BB32" s="54">
        <f t="array" ref="BB32">-(IF(BB$2=1,Assumptions!$P33/12,-(SUMIF($D$2:$EE$2,BB$2-1,$D32:$EE32)/12)*(1+XLOOKUP(BB$2,Assumptions!$C$94:$M$94,Assumptions!$C$98:$M$98))))</f>
        <v>-3751.700723</v>
      </c>
      <c r="BC32" s="54">
        <f t="array" ref="BC32">-(IF(BC$2=1,Assumptions!$P33/12,-(SUMIF($D$2:$EE$2,BC$2-1,$D32:$EE32)/12)*(1+XLOOKUP(BC$2,Assumptions!$C$94:$M$94,Assumptions!$C$98:$M$98))))</f>
        <v>-3751.700723</v>
      </c>
      <c r="BD32" s="54">
        <f t="array" ref="BD32">-(IF(BD$2=1,Assumptions!$P33/12,-(SUMIF($D$2:$EE$2,BD$2-1,$D32:$EE32)/12)*(1+XLOOKUP(BD$2,Assumptions!$C$94:$M$94,Assumptions!$C$98:$M$98))))</f>
        <v>-3751.700723</v>
      </c>
      <c r="BE32" s="54">
        <f t="array" ref="BE32">-(IF(BE$2=1,Assumptions!$P33/12,-(SUMIF($D$2:$EE$2,BE$2-1,$D32:$EE32)/12)*(1+XLOOKUP(BE$2,Assumptions!$C$94:$M$94,Assumptions!$C$98:$M$98))))</f>
        <v>-3751.700723</v>
      </c>
      <c r="BF32" s="54">
        <f t="array" ref="BF32">-(IF(BF$2=1,Assumptions!$P33/12,-(SUMIF($D$2:$EE$2,BF$2-1,$D32:$EE32)/12)*(1+XLOOKUP(BF$2,Assumptions!$C$94:$M$94,Assumptions!$C$98:$M$98))))</f>
        <v>-3751.700723</v>
      </c>
      <c r="BG32" s="54">
        <f t="array" ref="BG32">-(IF(BG$2=1,Assumptions!$P33/12,-(SUMIF($D$2:$EE$2,BG$2-1,$D32:$EE32)/12)*(1+XLOOKUP(BG$2,Assumptions!$C$94:$M$94,Assumptions!$C$98:$M$98))))</f>
        <v>-3751.700723</v>
      </c>
      <c r="BH32" s="54">
        <f t="array" ref="BH32">-(IF(BH$2=1,Assumptions!$P33/12,-(SUMIF($D$2:$EE$2,BH$2-1,$D32:$EE32)/12)*(1+XLOOKUP(BH$2,Assumptions!$C$94:$M$94,Assumptions!$C$98:$M$98))))</f>
        <v>-3751.700723</v>
      </c>
      <c r="BI32" s="54">
        <f t="array" ref="BI32">-(IF(BI$2=1,Assumptions!$P33/12,-(SUMIF($D$2:$EE$2,BI$2-1,$D32:$EE32)/12)*(1+XLOOKUP(BI$2,Assumptions!$C$94:$M$94,Assumptions!$C$98:$M$98))))</f>
        <v>-3751.700723</v>
      </c>
      <c r="BJ32" s="54">
        <f t="array" ref="BJ32">-(IF(BJ$2=1,Assumptions!$P33/12,-(SUMIF($D$2:$EE$2,BJ$2-1,$D32:$EE32)/12)*(1+XLOOKUP(BJ$2,Assumptions!$C$94:$M$94,Assumptions!$C$98:$M$98))))</f>
        <v>-3751.700723</v>
      </c>
      <c r="BK32" s="54">
        <f t="array" ref="BK32">-(IF(BK$2=1,Assumptions!$P33/12,-(SUMIF($D$2:$EE$2,BK$2-1,$D32:$EE32)/12)*(1+XLOOKUP(BK$2,Assumptions!$C$94:$M$94,Assumptions!$C$98:$M$98))))</f>
        <v>-3751.700723</v>
      </c>
      <c r="BL32" s="54">
        <f t="array" ref="BL32">-(IF(BL$2=1,Assumptions!$P33/12,-(SUMIF($D$2:$EE$2,BL$2-1,$D32:$EE32)/12)*(1+XLOOKUP(BL$2,Assumptions!$C$94:$M$94,Assumptions!$C$98:$M$98))))</f>
        <v>-3864.251745</v>
      </c>
      <c r="BM32" s="54">
        <f t="array" ref="BM32">-(IF(BM$2=1,Assumptions!$P33/12,-(SUMIF($D$2:$EE$2,BM$2-1,$D32:$EE32)/12)*(1+XLOOKUP(BM$2,Assumptions!$C$94:$M$94,Assumptions!$C$98:$M$98))))</f>
        <v>-3864.251745</v>
      </c>
      <c r="BN32" s="54">
        <f t="array" ref="BN32">-(IF(BN$2=1,Assumptions!$P33/12,-(SUMIF($D$2:$EE$2,BN$2-1,$D32:$EE32)/12)*(1+XLOOKUP(BN$2,Assumptions!$C$94:$M$94,Assumptions!$C$98:$M$98))))</f>
        <v>-3864.251745</v>
      </c>
      <c r="BO32" s="54">
        <f t="array" ref="BO32">-(IF(BO$2=1,Assumptions!$P33/12,-(SUMIF($D$2:$EE$2,BO$2-1,$D32:$EE32)/12)*(1+XLOOKUP(BO$2,Assumptions!$C$94:$M$94,Assumptions!$C$98:$M$98))))</f>
        <v>-3864.251745</v>
      </c>
      <c r="BP32" s="54">
        <f t="array" ref="BP32">-(IF(BP$2=1,Assumptions!$P33/12,-(SUMIF($D$2:$EE$2,BP$2-1,$D32:$EE32)/12)*(1+XLOOKUP(BP$2,Assumptions!$C$94:$M$94,Assumptions!$C$98:$M$98))))</f>
        <v>-3864.251745</v>
      </c>
      <c r="BQ32" s="54">
        <f t="array" ref="BQ32">-(IF(BQ$2=1,Assumptions!$P33/12,-(SUMIF($D$2:$EE$2,BQ$2-1,$D32:$EE32)/12)*(1+XLOOKUP(BQ$2,Assumptions!$C$94:$M$94,Assumptions!$C$98:$M$98))))</f>
        <v>-3864.251745</v>
      </c>
      <c r="BR32" s="54">
        <f t="array" ref="BR32">-(IF(BR$2=1,Assumptions!$P33/12,-(SUMIF($D$2:$EE$2,BR$2-1,$D32:$EE32)/12)*(1+XLOOKUP(BR$2,Assumptions!$C$94:$M$94,Assumptions!$C$98:$M$98))))</f>
        <v>-3864.251745</v>
      </c>
      <c r="BS32" s="54">
        <f t="array" ref="BS32">-(IF(BS$2=1,Assumptions!$P33/12,-(SUMIF($D$2:$EE$2,BS$2-1,$D32:$EE32)/12)*(1+XLOOKUP(BS$2,Assumptions!$C$94:$M$94,Assumptions!$C$98:$M$98))))</f>
        <v>-3864.251745</v>
      </c>
      <c r="BT32" s="54">
        <f t="array" ref="BT32">-(IF(BT$2=1,Assumptions!$P33/12,-(SUMIF($D$2:$EE$2,BT$2-1,$D32:$EE32)/12)*(1+XLOOKUP(BT$2,Assumptions!$C$94:$M$94,Assumptions!$C$98:$M$98))))</f>
        <v>-3864.251745</v>
      </c>
      <c r="BU32" s="54">
        <f t="array" ref="BU32">-(IF(BU$2=1,Assumptions!$P33/12,-(SUMIF($D$2:$EE$2,BU$2-1,$D32:$EE32)/12)*(1+XLOOKUP(BU$2,Assumptions!$C$94:$M$94,Assumptions!$C$98:$M$98))))</f>
        <v>-3864.251745</v>
      </c>
      <c r="BV32" s="54">
        <f t="array" ref="BV32">-(IF(BV$2=1,Assumptions!$P33/12,-(SUMIF($D$2:$EE$2,BV$2-1,$D32:$EE32)/12)*(1+XLOOKUP(BV$2,Assumptions!$C$94:$M$94,Assumptions!$C$98:$M$98))))</f>
        <v>-3864.251745</v>
      </c>
      <c r="BW32" s="54">
        <f t="array" ref="BW32">-(IF(BW$2=1,Assumptions!$P33/12,-(SUMIF($D$2:$EE$2,BW$2-1,$D32:$EE32)/12)*(1+XLOOKUP(BW$2,Assumptions!$C$94:$M$94,Assumptions!$C$98:$M$98))))</f>
        <v>-3864.251745</v>
      </c>
      <c r="BX32" s="54">
        <f t="array" ref="BX32">-(IF(BX$2=1,Assumptions!$P33/12,-(SUMIF($D$2:$EE$2,BX$2-1,$D32:$EE32)/12)*(1+XLOOKUP(BX$2,Assumptions!$C$94:$M$94,Assumptions!$C$98:$M$98))))</f>
        <v>-3980.179297</v>
      </c>
      <c r="BY32" s="54">
        <f t="array" ref="BY32">-(IF(BY$2=1,Assumptions!$P33/12,-(SUMIF($D$2:$EE$2,BY$2-1,$D32:$EE32)/12)*(1+XLOOKUP(BY$2,Assumptions!$C$94:$M$94,Assumptions!$C$98:$M$98))))</f>
        <v>-3980.179297</v>
      </c>
      <c r="BZ32" s="54">
        <f t="array" ref="BZ32">-(IF(BZ$2=1,Assumptions!$P33/12,-(SUMIF($D$2:$EE$2,BZ$2-1,$D32:$EE32)/12)*(1+XLOOKUP(BZ$2,Assumptions!$C$94:$M$94,Assumptions!$C$98:$M$98))))</f>
        <v>-3980.179297</v>
      </c>
      <c r="CA32" s="54">
        <f t="array" ref="CA32">-(IF(CA$2=1,Assumptions!$P33/12,-(SUMIF($D$2:$EE$2,CA$2-1,$D32:$EE32)/12)*(1+XLOOKUP(CA$2,Assumptions!$C$94:$M$94,Assumptions!$C$98:$M$98))))</f>
        <v>-3980.179297</v>
      </c>
      <c r="CB32" s="54">
        <f t="array" ref="CB32">-(IF(CB$2=1,Assumptions!$P33/12,-(SUMIF($D$2:$EE$2,CB$2-1,$D32:$EE32)/12)*(1+XLOOKUP(CB$2,Assumptions!$C$94:$M$94,Assumptions!$C$98:$M$98))))</f>
        <v>-3980.179297</v>
      </c>
      <c r="CC32" s="54">
        <f t="array" ref="CC32">-(IF(CC$2=1,Assumptions!$P33/12,-(SUMIF($D$2:$EE$2,CC$2-1,$D32:$EE32)/12)*(1+XLOOKUP(CC$2,Assumptions!$C$94:$M$94,Assumptions!$C$98:$M$98))))</f>
        <v>-3980.179297</v>
      </c>
      <c r="CD32" s="54">
        <f t="array" ref="CD32">-(IF(CD$2=1,Assumptions!$P33/12,-(SUMIF($D$2:$EE$2,CD$2-1,$D32:$EE32)/12)*(1+XLOOKUP(CD$2,Assumptions!$C$94:$M$94,Assumptions!$C$98:$M$98))))</f>
        <v>-3980.179297</v>
      </c>
      <c r="CE32" s="54">
        <f t="array" ref="CE32">-(IF(CE$2=1,Assumptions!$P33/12,-(SUMIF($D$2:$EE$2,CE$2-1,$D32:$EE32)/12)*(1+XLOOKUP(CE$2,Assumptions!$C$94:$M$94,Assumptions!$C$98:$M$98))))</f>
        <v>-3980.179297</v>
      </c>
      <c r="CF32" s="54">
        <f t="array" ref="CF32">-(IF(CF$2=1,Assumptions!$P33/12,-(SUMIF($D$2:$EE$2,CF$2-1,$D32:$EE32)/12)*(1+XLOOKUP(CF$2,Assumptions!$C$94:$M$94,Assumptions!$C$98:$M$98))))</f>
        <v>-3980.179297</v>
      </c>
      <c r="CG32" s="54">
        <f t="array" ref="CG32">-(IF(CG$2=1,Assumptions!$P33/12,-(SUMIF($D$2:$EE$2,CG$2-1,$D32:$EE32)/12)*(1+XLOOKUP(CG$2,Assumptions!$C$94:$M$94,Assumptions!$C$98:$M$98))))</f>
        <v>-3980.179297</v>
      </c>
      <c r="CH32" s="54">
        <f t="array" ref="CH32">-(IF(CH$2=1,Assumptions!$P33/12,-(SUMIF($D$2:$EE$2,CH$2-1,$D32:$EE32)/12)*(1+XLOOKUP(CH$2,Assumptions!$C$94:$M$94,Assumptions!$C$98:$M$98))))</f>
        <v>-3980.179297</v>
      </c>
      <c r="CI32" s="54">
        <f t="array" ref="CI32">-(IF(CI$2=1,Assumptions!$P33/12,-(SUMIF($D$2:$EE$2,CI$2-1,$D32:$EE32)/12)*(1+XLOOKUP(CI$2,Assumptions!$C$94:$M$94,Assumptions!$C$98:$M$98))))</f>
        <v>-3980.179297</v>
      </c>
      <c r="CJ32" s="54">
        <f t="array" ref="CJ32">-(IF(CJ$2=1,Assumptions!$P33/12,-(SUMIF($D$2:$EE$2,CJ$2-1,$D32:$EE32)/12)*(1+XLOOKUP(CJ$2,Assumptions!$C$94:$M$94,Assumptions!$C$98:$M$98))))</f>
        <v>-4099.584676</v>
      </c>
      <c r="CK32" s="54">
        <f t="array" ref="CK32">-(IF(CK$2=1,Assumptions!$P33/12,-(SUMIF($D$2:$EE$2,CK$2-1,$D32:$EE32)/12)*(1+XLOOKUP(CK$2,Assumptions!$C$94:$M$94,Assumptions!$C$98:$M$98))))</f>
        <v>-4099.584676</v>
      </c>
      <c r="CL32" s="54">
        <f t="array" ref="CL32">-(IF(CL$2=1,Assumptions!$P33/12,-(SUMIF($D$2:$EE$2,CL$2-1,$D32:$EE32)/12)*(1+XLOOKUP(CL$2,Assumptions!$C$94:$M$94,Assumptions!$C$98:$M$98))))</f>
        <v>-4099.584676</v>
      </c>
      <c r="CM32" s="54">
        <f t="array" ref="CM32">-(IF(CM$2=1,Assumptions!$P33/12,-(SUMIF($D$2:$EE$2,CM$2-1,$D32:$EE32)/12)*(1+XLOOKUP(CM$2,Assumptions!$C$94:$M$94,Assumptions!$C$98:$M$98))))</f>
        <v>-4099.584676</v>
      </c>
      <c r="CN32" s="54">
        <f t="array" ref="CN32">-(IF(CN$2=1,Assumptions!$P33/12,-(SUMIF($D$2:$EE$2,CN$2-1,$D32:$EE32)/12)*(1+XLOOKUP(CN$2,Assumptions!$C$94:$M$94,Assumptions!$C$98:$M$98))))</f>
        <v>-4099.584676</v>
      </c>
      <c r="CO32" s="54">
        <f t="array" ref="CO32">-(IF(CO$2=1,Assumptions!$P33/12,-(SUMIF($D$2:$EE$2,CO$2-1,$D32:$EE32)/12)*(1+XLOOKUP(CO$2,Assumptions!$C$94:$M$94,Assumptions!$C$98:$M$98))))</f>
        <v>-4099.584676</v>
      </c>
      <c r="CP32" s="54">
        <f t="array" ref="CP32">-(IF(CP$2=1,Assumptions!$P33/12,-(SUMIF($D$2:$EE$2,CP$2-1,$D32:$EE32)/12)*(1+XLOOKUP(CP$2,Assumptions!$C$94:$M$94,Assumptions!$C$98:$M$98))))</f>
        <v>-4099.584676</v>
      </c>
      <c r="CQ32" s="54">
        <f t="array" ref="CQ32">-(IF(CQ$2=1,Assumptions!$P33/12,-(SUMIF($D$2:$EE$2,CQ$2-1,$D32:$EE32)/12)*(1+XLOOKUP(CQ$2,Assumptions!$C$94:$M$94,Assumptions!$C$98:$M$98))))</f>
        <v>-4099.584676</v>
      </c>
      <c r="CR32" s="54">
        <f t="array" ref="CR32">-(IF(CR$2=1,Assumptions!$P33/12,-(SUMIF($D$2:$EE$2,CR$2-1,$D32:$EE32)/12)*(1+XLOOKUP(CR$2,Assumptions!$C$94:$M$94,Assumptions!$C$98:$M$98))))</f>
        <v>-4099.584676</v>
      </c>
      <c r="CS32" s="54">
        <f t="array" ref="CS32">-(IF(CS$2=1,Assumptions!$P33/12,-(SUMIF($D$2:$EE$2,CS$2-1,$D32:$EE32)/12)*(1+XLOOKUP(CS$2,Assumptions!$C$94:$M$94,Assumptions!$C$98:$M$98))))</f>
        <v>-4099.584676</v>
      </c>
      <c r="CT32" s="54">
        <f t="array" ref="CT32">-(IF(CT$2=1,Assumptions!$P33/12,-(SUMIF($D$2:$EE$2,CT$2-1,$D32:$EE32)/12)*(1+XLOOKUP(CT$2,Assumptions!$C$94:$M$94,Assumptions!$C$98:$M$98))))</f>
        <v>-4099.584676</v>
      </c>
      <c r="CU32" s="54">
        <f t="array" ref="CU32">-(IF(CU$2=1,Assumptions!$P33/12,-(SUMIF($D$2:$EE$2,CU$2-1,$D32:$EE32)/12)*(1+XLOOKUP(CU$2,Assumptions!$C$94:$M$94,Assumptions!$C$98:$M$98))))</f>
        <v>-4099.584676</v>
      </c>
      <c r="CV32" s="54">
        <f t="array" ref="CV32">-(IF(CV$2=1,Assumptions!$P33/12,-(SUMIF($D$2:$EE$2,CV$2-1,$D32:$EE32)/12)*(1+XLOOKUP(CV$2,Assumptions!$C$94:$M$94,Assumptions!$C$98:$M$98))))</f>
        <v>-4222.572216</v>
      </c>
      <c r="CW32" s="54">
        <f t="array" ref="CW32">-(IF(CW$2=1,Assumptions!$P33/12,-(SUMIF($D$2:$EE$2,CW$2-1,$D32:$EE32)/12)*(1+XLOOKUP(CW$2,Assumptions!$C$94:$M$94,Assumptions!$C$98:$M$98))))</f>
        <v>-4222.572216</v>
      </c>
      <c r="CX32" s="54">
        <f t="array" ref="CX32">-(IF(CX$2=1,Assumptions!$P33/12,-(SUMIF($D$2:$EE$2,CX$2-1,$D32:$EE32)/12)*(1+XLOOKUP(CX$2,Assumptions!$C$94:$M$94,Assumptions!$C$98:$M$98))))</f>
        <v>-4222.572216</v>
      </c>
      <c r="CY32" s="54">
        <f t="array" ref="CY32">-(IF(CY$2=1,Assumptions!$P33/12,-(SUMIF($D$2:$EE$2,CY$2-1,$D32:$EE32)/12)*(1+XLOOKUP(CY$2,Assumptions!$C$94:$M$94,Assumptions!$C$98:$M$98))))</f>
        <v>-4222.572216</v>
      </c>
      <c r="CZ32" s="54">
        <f t="array" ref="CZ32">-(IF(CZ$2=1,Assumptions!$P33/12,-(SUMIF($D$2:$EE$2,CZ$2-1,$D32:$EE32)/12)*(1+XLOOKUP(CZ$2,Assumptions!$C$94:$M$94,Assumptions!$C$98:$M$98))))</f>
        <v>-4222.572216</v>
      </c>
      <c r="DA32" s="54">
        <f t="array" ref="DA32">-(IF(DA$2=1,Assumptions!$P33/12,-(SUMIF($D$2:$EE$2,DA$2-1,$D32:$EE32)/12)*(1+XLOOKUP(DA$2,Assumptions!$C$94:$M$94,Assumptions!$C$98:$M$98))))</f>
        <v>-4222.572216</v>
      </c>
      <c r="DB32" s="54">
        <f t="array" ref="DB32">-(IF(DB$2=1,Assumptions!$P33/12,-(SUMIF($D$2:$EE$2,DB$2-1,$D32:$EE32)/12)*(1+XLOOKUP(DB$2,Assumptions!$C$94:$M$94,Assumptions!$C$98:$M$98))))</f>
        <v>-4222.572216</v>
      </c>
      <c r="DC32" s="54">
        <f t="array" ref="DC32">-(IF(DC$2=1,Assumptions!$P33/12,-(SUMIF($D$2:$EE$2,DC$2-1,$D32:$EE32)/12)*(1+XLOOKUP(DC$2,Assumptions!$C$94:$M$94,Assumptions!$C$98:$M$98))))</f>
        <v>-4222.572216</v>
      </c>
      <c r="DD32" s="54">
        <f t="array" ref="DD32">-(IF(DD$2=1,Assumptions!$P33/12,-(SUMIF($D$2:$EE$2,DD$2-1,$D32:$EE32)/12)*(1+XLOOKUP(DD$2,Assumptions!$C$94:$M$94,Assumptions!$C$98:$M$98))))</f>
        <v>-4222.572216</v>
      </c>
      <c r="DE32" s="54">
        <f t="array" ref="DE32">-(IF(DE$2=1,Assumptions!$P33/12,-(SUMIF($D$2:$EE$2,DE$2-1,$D32:$EE32)/12)*(1+XLOOKUP(DE$2,Assumptions!$C$94:$M$94,Assumptions!$C$98:$M$98))))</f>
        <v>-4222.572216</v>
      </c>
      <c r="DF32" s="54">
        <f t="array" ref="DF32">-(IF(DF$2=1,Assumptions!$P33/12,-(SUMIF($D$2:$EE$2,DF$2-1,$D32:$EE32)/12)*(1+XLOOKUP(DF$2,Assumptions!$C$94:$M$94,Assumptions!$C$98:$M$98))))</f>
        <v>-4222.572216</v>
      </c>
      <c r="DG32" s="54">
        <f t="array" ref="DG32">-(IF(DG$2=1,Assumptions!$P33/12,-(SUMIF($D$2:$EE$2,DG$2-1,$D32:$EE32)/12)*(1+XLOOKUP(DG$2,Assumptions!$C$94:$M$94,Assumptions!$C$98:$M$98))))</f>
        <v>-4222.572216</v>
      </c>
      <c r="DH32" s="54">
        <f t="array" ref="DH32">-(IF(DH$2=1,Assumptions!$P33/12,-(SUMIF($D$2:$EE$2,DH$2-1,$D32:$EE32)/12)*(1+XLOOKUP(DH$2,Assumptions!$C$94:$M$94,Assumptions!$C$98:$M$98))))</f>
        <v>-4349.249383</v>
      </c>
      <c r="DI32" s="54">
        <f t="array" ref="DI32">-(IF(DI$2=1,Assumptions!$P33/12,-(SUMIF($D$2:$EE$2,DI$2-1,$D32:$EE32)/12)*(1+XLOOKUP(DI$2,Assumptions!$C$94:$M$94,Assumptions!$C$98:$M$98))))</f>
        <v>-4349.249383</v>
      </c>
      <c r="DJ32" s="54">
        <f t="array" ref="DJ32">-(IF(DJ$2=1,Assumptions!$P33/12,-(SUMIF($D$2:$EE$2,DJ$2-1,$D32:$EE32)/12)*(1+XLOOKUP(DJ$2,Assumptions!$C$94:$M$94,Assumptions!$C$98:$M$98))))</f>
        <v>-4349.249383</v>
      </c>
      <c r="DK32" s="54">
        <f t="array" ref="DK32">-(IF(DK$2=1,Assumptions!$P33/12,-(SUMIF($D$2:$EE$2,DK$2-1,$D32:$EE32)/12)*(1+XLOOKUP(DK$2,Assumptions!$C$94:$M$94,Assumptions!$C$98:$M$98))))</f>
        <v>-4349.249383</v>
      </c>
      <c r="DL32" s="54">
        <f t="array" ref="DL32">-(IF(DL$2=1,Assumptions!$P33/12,-(SUMIF($D$2:$EE$2,DL$2-1,$D32:$EE32)/12)*(1+XLOOKUP(DL$2,Assumptions!$C$94:$M$94,Assumptions!$C$98:$M$98))))</f>
        <v>-4349.249383</v>
      </c>
      <c r="DM32" s="54">
        <f t="array" ref="DM32">-(IF(DM$2=1,Assumptions!$P33/12,-(SUMIF($D$2:$EE$2,DM$2-1,$D32:$EE32)/12)*(1+XLOOKUP(DM$2,Assumptions!$C$94:$M$94,Assumptions!$C$98:$M$98))))</f>
        <v>-4349.249383</v>
      </c>
      <c r="DN32" s="54">
        <f t="array" ref="DN32">-(IF(DN$2=1,Assumptions!$P33/12,-(SUMIF($D$2:$EE$2,DN$2-1,$D32:$EE32)/12)*(1+XLOOKUP(DN$2,Assumptions!$C$94:$M$94,Assumptions!$C$98:$M$98))))</f>
        <v>-4349.249383</v>
      </c>
      <c r="DO32" s="54">
        <f t="array" ref="DO32">-(IF(DO$2=1,Assumptions!$P33/12,-(SUMIF($D$2:$EE$2,DO$2-1,$D32:$EE32)/12)*(1+XLOOKUP(DO$2,Assumptions!$C$94:$M$94,Assumptions!$C$98:$M$98))))</f>
        <v>-4349.249383</v>
      </c>
      <c r="DP32" s="54">
        <f t="array" ref="DP32">-(IF(DP$2=1,Assumptions!$P33/12,-(SUMIF($D$2:$EE$2,DP$2-1,$D32:$EE32)/12)*(1+XLOOKUP(DP$2,Assumptions!$C$94:$M$94,Assumptions!$C$98:$M$98))))</f>
        <v>-4349.249383</v>
      </c>
      <c r="DQ32" s="54">
        <f t="array" ref="DQ32">-(IF(DQ$2=1,Assumptions!$P33/12,-(SUMIF($D$2:$EE$2,DQ$2-1,$D32:$EE32)/12)*(1+XLOOKUP(DQ$2,Assumptions!$C$94:$M$94,Assumptions!$C$98:$M$98))))</f>
        <v>-4349.249383</v>
      </c>
      <c r="DR32" s="54">
        <f t="array" ref="DR32">-(IF(DR$2=1,Assumptions!$P33/12,-(SUMIF($D$2:$EE$2,DR$2-1,$D32:$EE32)/12)*(1+XLOOKUP(DR$2,Assumptions!$C$94:$M$94,Assumptions!$C$98:$M$98))))</f>
        <v>-4349.249383</v>
      </c>
      <c r="DS32" s="54">
        <f t="array" ref="DS32">-(IF(DS$2=1,Assumptions!$P33/12,-(SUMIF($D$2:$EE$2,DS$2-1,$D32:$EE32)/12)*(1+XLOOKUP(DS$2,Assumptions!$C$94:$M$94,Assumptions!$C$98:$M$98))))</f>
        <v>-4349.249383</v>
      </c>
      <c r="DT32" s="54">
        <f t="array" ref="DT32">-(IF(DT$2=1,Assumptions!$P33/12,-(SUMIF($D$2:$EE$2,DT$2-1,$D32:$EE32)/12)*(1+XLOOKUP(DT$2,Assumptions!$C$94:$M$94,Assumptions!$C$98:$M$98))))</f>
        <v>-4479.726864</v>
      </c>
      <c r="DU32" s="54">
        <f t="array" ref="DU32">-(IF(DU$2=1,Assumptions!$P33/12,-(SUMIF($D$2:$EE$2,DU$2-1,$D32:$EE32)/12)*(1+XLOOKUP(DU$2,Assumptions!$C$94:$M$94,Assumptions!$C$98:$M$98))))</f>
        <v>-4479.726864</v>
      </c>
      <c r="DV32" s="54">
        <f t="array" ref="DV32">-(IF(DV$2=1,Assumptions!$P33/12,-(SUMIF($D$2:$EE$2,DV$2-1,$D32:$EE32)/12)*(1+XLOOKUP(DV$2,Assumptions!$C$94:$M$94,Assumptions!$C$98:$M$98))))</f>
        <v>-4479.726864</v>
      </c>
      <c r="DW32" s="54">
        <f t="array" ref="DW32">-(IF(DW$2=1,Assumptions!$P33/12,-(SUMIF($D$2:$EE$2,DW$2-1,$D32:$EE32)/12)*(1+XLOOKUP(DW$2,Assumptions!$C$94:$M$94,Assumptions!$C$98:$M$98))))</f>
        <v>-4479.726864</v>
      </c>
      <c r="DX32" s="54">
        <f t="array" ref="DX32">-(IF(DX$2=1,Assumptions!$P33/12,-(SUMIF($D$2:$EE$2,DX$2-1,$D32:$EE32)/12)*(1+XLOOKUP(DX$2,Assumptions!$C$94:$M$94,Assumptions!$C$98:$M$98))))</f>
        <v>-4479.726864</v>
      </c>
      <c r="DY32" s="54">
        <f t="array" ref="DY32">-(IF(DY$2=1,Assumptions!$P33/12,-(SUMIF($D$2:$EE$2,DY$2-1,$D32:$EE32)/12)*(1+XLOOKUP(DY$2,Assumptions!$C$94:$M$94,Assumptions!$C$98:$M$98))))</f>
        <v>-4479.726864</v>
      </c>
      <c r="DZ32" s="54">
        <f t="array" ref="DZ32">-(IF(DZ$2=1,Assumptions!$P33/12,-(SUMIF($D$2:$EE$2,DZ$2-1,$D32:$EE32)/12)*(1+XLOOKUP(DZ$2,Assumptions!$C$94:$M$94,Assumptions!$C$98:$M$98))))</f>
        <v>-4479.726864</v>
      </c>
      <c r="EA32" s="54">
        <f t="array" ref="EA32">-(IF(EA$2=1,Assumptions!$P33/12,-(SUMIF($D$2:$EE$2,EA$2-1,$D32:$EE32)/12)*(1+XLOOKUP(EA$2,Assumptions!$C$94:$M$94,Assumptions!$C$98:$M$98))))</f>
        <v>-4479.726864</v>
      </c>
      <c r="EB32" s="54">
        <f t="array" ref="EB32">-(IF(EB$2=1,Assumptions!$P33/12,-(SUMIF($D$2:$EE$2,EB$2-1,$D32:$EE32)/12)*(1+XLOOKUP(EB$2,Assumptions!$C$94:$M$94,Assumptions!$C$98:$M$98))))</f>
        <v>-4479.726864</v>
      </c>
      <c r="EC32" s="54">
        <f t="array" ref="EC32">-(IF(EC$2=1,Assumptions!$P33/12,-(SUMIF($D$2:$EE$2,EC$2-1,$D32:$EE32)/12)*(1+XLOOKUP(EC$2,Assumptions!$C$94:$M$94,Assumptions!$C$98:$M$98))))</f>
        <v>-4479.726864</v>
      </c>
      <c r="ED32" s="54">
        <f t="array" ref="ED32">-(IF(ED$2=1,Assumptions!$P33/12,-(SUMIF($D$2:$EE$2,ED$2-1,$D32:$EE32)/12)*(1+XLOOKUP(ED$2,Assumptions!$C$94:$M$94,Assumptions!$C$98:$M$98))))</f>
        <v>-4479.726864</v>
      </c>
      <c r="EE32" s="54">
        <f t="array" ref="EE32">-(IF(EE$2=1,Assumptions!$P33/12,-(SUMIF($D$2:$EE$2,EE$2-1,$D32:$EE32)/12)*(1+XLOOKUP(EE$2,Assumptions!$C$94:$M$94,Assumptions!$C$98:$M$98))))</f>
        <v>-4479.726864</v>
      </c>
    </row>
    <row r="33" ht="15.75" customHeight="1">
      <c r="A33" s="1"/>
      <c r="B33" s="1"/>
      <c r="C33" s="1" t="str">
        <f>Assumptions!J34</f>
        <v>Tax</v>
      </c>
      <c r="D33" s="54">
        <f t="array" ref="D33">-(IF(D$2=1,Assumptions!$P34/12,-(SUMIF($D$2:$EE$2,D$2-1,$D33:$EE33)/12)*(1+XLOOKUP(D$2,Assumptions!$C$94:$M$94,Assumptions!$C$98:$M$98))))</f>
        <v>-31776.89725</v>
      </c>
      <c r="E33" s="54">
        <f t="array" ref="E33">-(IF(E$2=1,Assumptions!$P34/12,-(SUMIF($D$2:$EE$2,E$2-1,$D33:$EE33)/12)*(1+XLOOKUP(E$2,Assumptions!$C$94:$M$94,Assumptions!$C$98:$M$98))))</f>
        <v>-31776.89725</v>
      </c>
      <c r="F33" s="54">
        <f t="array" ref="F33">-(IF(F$2=1,Assumptions!$P34/12,-(SUMIF($D$2:$EE$2,F$2-1,$D33:$EE33)/12)*(1+XLOOKUP(F$2,Assumptions!$C$94:$M$94,Assumptions!$C$98:$M$98))))</f>
        <v>-31776.89725</v>
      </c>
      <c r="G33" s="54">
        <f t="array" ref="G33">-(IF(G$2=1,Assumptions!$P34/12,-(SUMIF($D$2:$EE$2,G$2-1,$D33:$EE33)/12)*(1+XLOOKUP(G$2,Assumptions!$C$94:$M$94,Assumptions!$C$98:$M$98))))</f>
        <v>-31776.89725</v>
      </c>
      <c r="H33" s="54">
        <f t="array" ref="H33">-(IF(H$2=1,Assumptions!$P34/12,-(SUMIF($D$2:$EE$2,H$2-1,$D33:$EE33)/12)*(1+XLOOKUP(H$2,Assumptions!$C$94:$M$94,Assumptions!$C$98:$M$98))))</f>
        <v>-31776.89725</v>
      </c>
      <c r="I33" s="54">
        <f t="array" ref="I33">-(IF(I$2=1,Assumptions!$P34/12,-(SUMIF($D$2:$EE$2,I$2-1,$D33:$EE33)/12)*(1+XLOOKUP(I$2,Assumptions!$C$94:$M$94,Assumptions!$C$98:$M$98))))</f>
        <v>-31776.89725</v>
      </c>
      <c r="J33" s="54">
        <f t="array" ref="J33">-(IF(J$2=1,Assumptions!$P34/12,-(SUMIF($D$2:$EE$2,J$2-1,$D33:$EE33)/12)*(1+XLOOKUP(J$2,Assumptions!$C$94:$M$94,Assumptions!$C$98:$M$98))))</f>
        <v>-31776.89725</v>
      </c>
      <c r="K33" s="54">
        <f t="array" ref="K33">-(IF(K$2=1,Assumptions!$P34/12,-(SUMIF($D$2:$EE$2,K$2-1,$D33:$EE33)/12)*(1+XLOOKUP(K$2,Assumptions!$C$94:$M$94,Assumptions!$C$98:$M$98))))</f>
        <v>-31776.89725</v>
      </c>
      <c r="L33" s="54">
        <f t="array" ref="L33">-(IF(L$2=1,Assumptions!$P34/12,-(SUMIF($D$2:$EE$2,L$2-1,$D33:$EE33)/12)*(1+XLOOKUP(L$2,Assumptions!$C$94:$M$94,Assumptions!$C$98:$M$98))))</f>
        <v>-31776.89725</v>
      </c>
      <c r="M33" s="54">
        <f t="array" ref="M33">-(IF(M$2=1,Assumptions!$P34/12,-(SUMIF($D$2:$EE$2,M$2-1,$D33:$EE33)/12)*(1+XLOOKUP(M$2,Assumptions!$C$94:$M$94,Assumptions!$C$98:$M$98))))</f>
        <v>-31776.89725</v>
      </c>
      <c r="N33" s="54">
        <f t="array" ref="N33">-(IF(N$2=1,Assumptions!$P34/12,-(SUMIF($D$2:$EE$2,N$2-1,$D33:$EE33)/12)*(1+XLOOKUP(N$2,Assumptions!$C$94:$M$94,Assumptions!$C$98:$M$98))))</f>
        <v>-31776.89725</v>
      </c>
      <c r="O33" s="54">
        <f t="array" ref="O33">-(IF(O$2=1,Assumptions!$P34/12,-(SUMIF($D$2:$EE$2,O$2-1,$D33:$EE33)/12)*(1+XLOOKUP(O$2,Assumptions!$C$94:$M$94,Assumptions!$C$98:$M$98))))</f>
        <v>-31776.89725</v>
      </c>
      <c r="P33" s="54">
        <f t="array" ref="P33">-(IF(P$2=1,Assumptions!$P34/12,-(SUMIF($D$2:$EE$2,P$2-1,$D33:$EE33)/12)*(1+XLOOKUP(P$2,Assumptions!$C$94:$M$94,Assumptions!$C$98:$M$98))))</f>
        <v>-32730.20417</v>
      </c>
      <c r="Q33" s="54">
        <f t="array" ref="Q33">-(IF(Q$2=1,Assumptions!$P34/12,-(SUMIF($D$2:$EE$2,Q$2-1,$D33:$EE33)/12)*(1+XLOOKUP(Q$2,Assumptions!$C$94:$M$94,Assumptions!$C$98:$M$98))))</f>
        <v>-32730.20417</v>
      </c>
      <c r="R33" s="54">
        <f t="array" ref="R33">-(IF(R$2=1,Assumptions!$P34/12,-(SUMIF($D$2:$EE$2,R$2-1,$D33:$EE33)/12)*(1+XLOOKUP(R$2,Assumptions!$C$94:$M$94,Assumptions!$C$98:$M$98))))</f>
        <v>-32730.20417</v>
      </c>
      <c r="S33" s="54">
        <f t="array" ref="S33">-(IF(S$2=1,Assumptions!$P34/12,-(SUMIF($D$2:$EE$2,S$2-1,$D33:$EE33)/12)*(1+XLOOKUP(S$2,Assumptions!$C$94:$M$94,Assumptions!$C$98:$M$98))))</f>
        <v>-32730.20417</v>
      </c>
      <c r="T33" s="54">
        <f t="array" ref="T33">-(IF(T$2=1,Assumptions!$P34/12,-(SUMIF($D$2:$EE$2,T$2-1,$D33:$EE33)/12)*(1+XLOOKUP(T$2,Assumptions!$C$94:$M$94,Assumptions!$C$98:$M$98))))</f>
        <v>-32730.20417</v>
      </c>
      <c r="U33" s="54">
        <f t="array" ref="U33">-(IF(U$2=1,Assumptions!$P34/12,-(SUMIF($D$2:$EE$2,U$2-1,$D33:$EE33)/12)*(1+XLOOKUP(U$2,Assumptions!$C$94:$M$94,Assumptions!$C$98:$M$98))))</f>
        <v>-32730.20417</v>
      </c>
      <c r="V33" s="54">
        <f t="array" ref="V33">-(IF(V$2=1,Assumptions!$P34/12,-(SUMIF($D$2:$EE$2,V$2-1,$D33:$EE33)/12)*(1+XLOOKUP(V$2,Assumptions!$C$94:$M$94,Assumptions!$C$98:$M$98))))</f>
        <v>-32730.20417</v>
      </c>
      <c r="W33" s="54">
        <f t="array" ref="W33">-(IF(W$2=1,Assumptions!$P34/12,-(SUMIF($D$2:$EE$2,W$2-1,$D33:$EE33)/12)*(1+XLOOKUP(W$2,Assumptions!$C$94:$M$94,Assumptions!$C$98:$M$98))))</f>
        <v>-32730.20417</v>
      </c>
      <c r="X33" s="54">
        <f t="array" ref="X33">-(IF(X$2=1,Assumptions!$P34/12,-(SUMIF($D$2:$EE$2,X$2-1,$D33:$EE33)/12)*(1+XLOOKUP(X$2,Assumptions!$C$94:$M$94,Assumptions!$C$98:$M$98))))</f>
        <v>-32730.20417</v>
      </c>
      <c r="Y33" s="54">
        <f t="array" ref="Y33">-(IF(Y$2=1,Assumptions!$P34/12,-(SUMIF($D$2:$EE$2,Y$2-1,$D33:$EE33)/12)*(1+XLOOKUP(Y$2,Assumptions!$C$94:$M$94,Assumptions!$C$98:$M$98))))</f>
        <v>-32730.20417</v>
      </c>
      <c r="Z33" s="54">
        <f t="array" ref="Z33">-(IF(Z$2=1,Assumptions!$P34/12,-(SUMIF($D$2:$EE$2,Z$2-1,$D33:$EE33)/12)*(1+XLOOKUP(Z$2,Assumptions!$C$94:$M$94,Assumptions!$C$98:$M$98))))</f>
        <v>-32730.20417</v>
      </c>
      <c r="AA33" s="54">
        <f t="array" ref="AA33">-(IF(AA$2=1,Assumptions!$P34/12,-(SUMIF($D$2:$EE$2,AA$2-1,$D33:$EE33)/12)*(1+XLOOKUP(AA$2,Assumptions!$C$94:$M$94,Assumptions!$C$98:$M$98))))</f>
        <v>-32730.20417</v>
      </c>
      <c r="AB33" s="54">
        <f t="array" ref="AB33">-(IF(AB$2=1,Assumptions!$P34/12,-(SUMIF($D$2:$EE$2,AB$2-1,$D33:$EE33)/12)*(1+XLOOKUP(AB$2,Assumptions!$C$94:$M$94,Assumptions!$C$98:$M$98))))</f>
        <v>-33712.11029</v>
      </c>
      <c r="AC33" s="54">
        <f t="array" ref="AC33">-(IF(AC$2=1,Assumptions!$P34/12,-(SUMIF($D$2:$EE$2,AC$2-1,$D33:$EE33)/12)*(1+XLOOKUP(AC$2,Assumptions!$C$94:$M$94,Assumptions!$C$98:$M$98))))</f>
        <v>-33712.11029</v>
      </c>
      <c r="AD33" s="54">
        <f t="array" ref="AD33">-(IF(AD$2=1,Assumptions!$P34/12,-(SUMIF($D$2:$EE$2,AD$2-1,$D33:$EE33)/12)*(1+XLOOKUP(AD$2,Assumptions!$C$94:$M$94,Assumptions!$C$98:$M$98))))</f>
        <v>-33712.11029</v>
      </c>
      <c r="AE33" s="54">
        <f t="array" ref="AE33">-(IF(AE$2=1,Assumptions!$P34/12,-(SUMIF($D$2:$EE$2,AE$2-1,$D33:$EE33)/12)*(1+XLOOKUP(AE$2,Assumptions!$C$94:$M$94,Assumptions!$C$98:$M$98))))</f>
        <v>-33712.11029</v>
      </c>
      <c r="AF33" s="54">
        <f t="array" ref="AF33">-(IF(AF$2=1,Assumptions!$P34/12,-(SUMIF($D$2:$EE$2,AF$2-1,$D33:$EE33)/12)*(1+XLOOKUP(AF$2,Assumptions!$C$94:$M$94,Assumptions!$C$98:$M$98))))</f>
        <v>-33712.11029</v>
      </c>
      <c r="AG33" s="54">
        <f t="array" ref="AG33">-(IF(AG$2=1,Assumptions!$P34/12,-(SUMIF($D$2:$EE$2,AG$2-1,$D33:$EE33)/12)*(1+XLOOKUP(AG$2,Assumptions!$C$94:$M$94,Assumptions!$C$98:$M$98))))</f>
        <v>-33712.11029</v>
      </c>
      <c r="AH33" s="54">
        <f t="array" ref="AH33">-(IF(AH$2=1,Assumptions!$P34/12,-(SUMIF($D$2:$EE$2,AH$2-1,$D33:$EE33)/12)*(1+XLOOKUP(AH$2,Assumptions!$C$94:$M$94,Assumptions!$C$98:$M$98))))</f>
        <v>-33712.11029</v>
      </c>
      <c r="AI33" s="54">
        <f t="array" ref="AI33">-(IF(AI$2=1,Assumptions!$P34/12,-(SUMIF($D$2:$EE$2,AI$2-1,$D33:$EE33)/12)*(1+XLOOKUP(AI$2,Assumptions!$C$94:$M$94,Assumptions!$C$98:$M$98))))</f>
        <v>-33712.11029</v>
      </c>
      <c r="AJ33" s="54">
        <f t="array" ref="AJ33">-(IF(AJ$2=1,Assumptions!$P34/12,-(SUMIF($D$2:$EE$2,AJ$2-1,$D33:$EE33)/12)*(1+XLOOKUP(AJ$2,Assumptions!$C$94:$M$94,Assumptions!$C$98:$M$98))))</f>
        <v>-33712.11029</v>
      </c>
      <c r="AK33" s="54">
        <f t="array" ref="AK33">-(IF(AK$2=1,Assumptions!$P34/12,-(SUMIF($D$2:$EE$2,AK$2-1,$D33:$EE33)/12)*(1+XLOOKUP(AK$2,Assumptions!$C$94:$M$94,Assumptions!$C$98:$M$98))))</f>
        <v>-33712.11029</v>
      </c>
      <c r="AL33" s="54">
        <f t="array" ref="AL33">-(IF(AL$2=1,Assumptions!$P34/12,-(SUMIF($D$2:$EE$2,AL$2-1,$D33:$EE33)/12)*(1+XLOOKUP(AL$2,Assumptions!$C$94:$M$94,Assumptions!$C$98:$M$98))))</f>
        <v>-33712.11029</v>
      </c>
      <c r="AM33" s="54">
        <f t="array" ref="AM33">-(IF(AM$2=1,Assumptions!$P34/12,-(SUMIF($D$2:$EE$2,AM$2-1,$D33:$EE33)/12)*(1+XLOOKUP(AM$2,Assumptions!$C$94:$M$94,Assumptions!$C$98:$M$98))))</f>
        <v>-33712.11029</v>
      </c>
      <c r="AN33" s="54">
        <f t="array" ref="AN33">-(IF(AN$2=1,Assumptions!$P34/12,-(SUMIF($D$2:$EE$2,AN$2-1,$D33:$EE33)/12)*(1+XLOOKUP(AN$2,Assumptions!$C$94:$M$94,Assumptions!$C$98:$M$98))))</f>
        <v>-34723.4736</v>
      </c>
      <c r="AO33" s="54">
        <f t="array" ref="AO33">-(IF(AO$2=1,Assumptions!$P34/12,-(SUMIF($D$2:$EE$2,AO$2-1,$D33:$EE33)/12)*(1+XLOOKUP(AO$2,Assumptions!$C$94:$M$94,Assumptions!$C$98:$M$98))))</f>
        <v>-34723.4736</v>
      </c>
      <c r="AP33" s="54">
        <f t="array" ref="AP33">-(IF(AP$2=1,Assumptions!$P34/12,-(SUMIF($D$2:$EE$2,AP$2-1,$D33:$EE33)/12)*(1+XLOOKUP(AP$2,Assumptions!$C$94:$M$94,Assumptions!$C$98:$M$98))))</f>
        <v>-34723.4736</v>
      </c>
      <c r="AQ33" s="54">
        <f t="array" ref="AQ33">-(IF(AQ$2=1,Assumptions!$P34/12,-(SUMIF($D$2:$EE$2,AQ$2-1,$D33:$EE33)/12)*(1+XLOOKUP(AQ$2,Assumptions!$C$94:$M$94,Assumptions!$C$98:$M$98))))</f>
        <v>-34723.4736</v>
      </c>
      <c r="AR33" s="54">
        <f t="array" ref="AR33">-(IF(AR$2=1,Assumptions!$P34/12,-(SUMIF($D$2:$EE$2,AR$2-1,$D33:$EE33)/12)*(1+XLOOKUP(AR$2,Assumptions!$C$94:$M$94,Assumptions!$C$98:$M$98))))</f>
        <v>-34723.4736</v>
      </c>
      <c r="AS33" s="54">
        <f t="array" ref="AS33">-(IF(AS$2=1,Assumptions!$P34/12,-(SUMIF($D$2:$EE$2,AS$2-1,$D33:$EE33)/12)*(1+XLOOKUP(AS$2,Assumptions!$C$94:$M$94,Assumptions!$C$98:$M$98))))</f>
        <v>-34723.4736</v>
      </c>
      <c r="AT33" s="54">
        <f t="array" ref="AT33">-(IF(AT$2=1,Assumptions!$P34/12,-(SUMIF($D$2:$EE$2,AT$2-1,$D33:$EE33)/12)*(1+XLOOKUP(AT$2,Assumptions!$C$94:$M$94,Assumptions!$C$98:$M$98))))</f>
        <v>-34723.4736</v>
      </c>
      <c r="AU33" s="54">
        <f t="array" ref="AU33">-(IF(AU$2=1,Assumptions!$P34/12,-(SUMIF($D$2:$EE$2,AU$2-1,$D33:$EE33)/12)*(1+XLOOKUP(AU$2,Assumptions!$C$94:$M$94,Assumptions!$C$98:$M$98))))</f>
        <v>-34723.4736</v>
      </c>
      <c r="AV33" s="54">
        <f t="array" ref="AV33">-(IF(AV$2=1,Assumptions!$P34/12,-(SUMIF($D$2:$EE$2,AV$2-1,$D33:$EE33)/12)*(1+XLOOKUP(AV$2,Assumptions!$C$94:$M$94,Assumptions!$C$98:$M$98))))</f>
        <v>-34723.4736</v>
      </c>
      <c r="AW33" s="54">
        <f t="array" ref="AW33">-(IF(AW$2=1,Assumptions!$P34/12,-(SUMIF($D$2:$EE$2,AW$2-1,$D33:$EE33)/12)*(1+XLOOKUP(AW$2,Assumptions!$C$94:$M$94,Assumptions!$C$98:$M$98))))</f>
        <v>-34723.4736</v>
      </c>
      <c r="AX33" s="54">
        <f t="array" ref="AX33">-(IF(AX$2=1,Assumptions!$P34/12,-(SUMIF($D$2:$EE$2,AX$2-1,$D33:$EE33)/12)*(1+XLOOKUP(AX$2,Assumptions!$C$94:$M$94,Assumptions!$C$98:$M$98))))</f>
        <v>-34723.4736</v>
      </c>
      <c r="AY33" s="54">
        <f t="array" ref="AY33">-(IF(AY$2=1,Assumptions!$P34/12,-(SUMIF($D$2:$EE$2,AY$2-1,$D33:$EE33)/12)*(1+XLOOKUP(AY$2,Assumptions!$C$94:$M$94,Assumptions!$C$98:$M$98))))</f>
        <v>-34723.4736</v>
      </c>
      <c r="AZ33" s="54">
        <f t="array" ref="AZ33">-(IF(AZ$2=1,Assumptions!$P34/12,-(SUMIF($D$2:$EE$2,AZ$2-1,$D33:$EE33)/12)*(1+XLOOKUP(AZ$2,Assumptions!$C$94:$M$94,Assumptions!$C$98:$M$98))))</f>
        <v>-35765.17781</v>
      </c>
      <c r="BA33" s="54">
        <f t="array" ref="BA33">-(IF(BA$2=1,Assumptions!$P34/12,-(SUMIF($D$2:$EE$2,BA$2-1,$D33:$EE33)/12)*(1+XLOOKUP(BA$2,Assumptions!$C$94:$M$94,Assumptions!$C$98:$M$98))))</f>
        <v>-35765.17781</v>
      </c>
      <c r="BB33" s="54">
        <f t="array" ref="BB33">-(IF(BB$2=1,Assumptions!$P34/12,-(SUMIF($D$2:$EE$2,BB$2-1,$D33:$EE33)/12)*(1+XLOOKUP(BB$2,Assumptions!$C$94:$M$94,Assumptions!$C$98:$M$98))))</f>
        <v>-35765.17781</v>
      </c>
      <c r="BC33" s="54">
        <f t="array" ref="BC33">-(IF(BC$2=1,Assumptions!$P34/12,-(SUMIF($D$2:$EE$2,BC$2-1,$D33:$EE33)/12)*(1+XLOOKUP(BC$2,Assumptions!$C$94:$M$94,Assumptions!$C$98:$M$98))))</f>
        <v>-35765.17781</v>
      </c>
      <c r="BD33" s="54">
        <f t="array" ref="BD33">-(IF(BD$2=1,Assumptions!$P34/12,-(SUMIF($D$2:$EE$2,BD$2-1,$D33:$EE33)/12)*(1+XLOOKUP(BD$2,Assumptions!$C$94:$M$94,Assumptions!$C$98:$M$98))))</f>
        <v>-35765.17781</v>
      </c>
      <c r="BE33" s="54">
        <f t="array" ref="BE33">-(IF(BE$2=1,Assumptions!$P34/12,-(SUMIF($D$2:$EE$2,BE$2-1,$D33:$EE33)/12)*(1+XLOOKUP(BE$2,Assumptions!$C$94:$M$94,Assumptions!$C$98:$M$98))))</f>
        <v>-35765.17781</v>
      </c>
      <c r="BF33" s="54">
        <f t="array" ref="BF33">-(IF(BF$2=1,Assumptions!$P34/12,-(SUMIF($D$2:$EE$2,BF$2-1,$D33:$EE33)/12)*(1+XLOOKUP(BF$2,Assumptions!$C$94:$M$94,Assumptions!$C$98:$M$98))))</f>
        <v>-35765.17781</v>
      </c>
      <c r="BG33" s="54">
        <f t="array" ref="BG33">-(IF(BG$2=1,Assumptions!$P34/12,-(SUMIF($D$2:$EE$2,BG$2-1,$D33:$EE33)/12)*(1+XLOOKUP(BG$2,Assumptions!$C$94:$M$94,Assumptions!$C$98:$M$98))))</f>
        <v>-35765.17781</v>
      </c>
      <c r="BH33" s="54">
        <f t="array" ref="BH33">-(IF(BH$2=1,Assumptions!$P34/12,-(SUMIF($D$2:$EE$2,BH$2-1,$D33:$EE33)/12)*(1+XLOOKUP(BH$2,Assumptions!$C$94:$M$94,Assumptions!$C$98:$M$98))))</f>
        <v>-35765.17781</v>
      </c>
      <c r="BI33" s="54">
        <f t="array" ref="BI33">-(IF(BI$2=1,Assumptions!$P34/12,-(SUMIF($D$2:$EE$2,BI$2-1,$D33:$EE33)/12)*(1+XLOOKUP(BI$2,Assumptions!$C$94:$M$94,Assumptions!$C$98:$M$98))))</f>
        <v>-35765.17781</v>
      </c>
      <c r="BJ33" s="54">
        <f t="array" ref="BJ33">-(IF(BJ$2=1,Assumptions!$P34/12,-(SUMIF($D$2:$EE$2,BJ$2-1,$D33:$EE33)/12)*(1+XLOOKUP(BJ$2,Assumptions!$C$94:$M$94,Assumptions!$C$98:$M$98))))</f>
        <v>-35765.17781</v>
      </c>
      <c r="BK33" s="54">
        <f t="array" ref="BK33">-(IF(BK$2=1,Assumptions!$P34/12,-(SUMIF($D$2:$EE$2,BK$2-1,$D33:$EE33)/12)*(1+XLOOKUP(BK$2,Assumptions!$C$94:$M$94,Assumptions!$C$98:$M$98))))</f>
        <v>-35765.17781</v>
      </c>
      <c r="BL33" s="54">
        <f t="array" ref="BL33">-(IF(BL$2=1,Assumptions!$P34/12,-(SUMIF($D$2:$EE$2,BL$2-1,$D33:$EE33)/12)*(1+XLOOKUP(BL$2,Assumptions!$C$94:$M$94,Assumptions!$C$98:$M$98))))</f>
        <v>-36838.13314</v>
      </c>
      <c r="BM33" s="54">
        <f t="array" ref="BM33">-(IF(BM$2=1,Assumptions!$P34/12,-(SUMIF($D$2:$EE$2,BM$2-1,$D33:$EE33)/12)*(1+XLOOKUP(BM$2,Assumptions!$C$94:$M$94,Assumptions!$C$98:$M$98))))</f>
        <v>-36838.13314</v>
      </c>
      <c r="BN33" s="54">
        <f t="array" ref="BN33">-(IF(BN$2=1,Assumptions!$P34/12,-(SUMIF($D$2:$EE$2,BN$2-1,$D33:$EE33)/12)*(1+XLOOKUP(BN$2,Assumptions!$C$94:$M$94,Assumptions!$C$98:$M$98))))</f>
        <v>-36838.13314</v>
      </c>
      <c r="BO33" s="54">
        <f t="array" ref="BO33">-(IF(BO$2=1,Assumptions!$P34/12,-(SUMIF($D$2:$EE$2,BO$2-1,$D33:$EE33)/12)*(1+XLOOKUP(BO$2,Assumptions!$C$94:$M$94,Assumptions!$C$98:$M$98))))</f>
        <v>-36838.13314</v>
      </c>
      <c r="BP33" s="54">
        <f t="array" ref="BP33">-(IF(BP$2=1,Assumptions!$P34/12,-(SUMIF($D$2:$EE$2,BP$2-1,$D33:$EE33)/12)*(1+XLOOKUP(BP$2,Assumptions!$C$94:$M$94,Assumptions!$C$98:$M$98))))</f>
        <v>-36838.13314</v>
      </c>
      <c r="BQ33" s="54">
        <f t="array" ref="BQ33">-(IF(BQ$2=1,Assumptions!$P34/12,-(SUMIF($D$2:$EE$2,BQ$2-1,$D33:$EE33)/12)*(1+XLOOKUP(BQ$2,Assumptions!$C$94:$M$94,Assumptions!$C$98:$M$98))))</f>
        <v>-36838.13314</v>
      </c>
      <c r="BR33" s="54">
        <f t="array" ref="BR33">-(IF(BR$2=1,Assumptions!$P34/12,-(SUMIF($D$2:$EE$2,BR$2-1,$D33:$EE33)/12)*(1+XLOOKUP(BR$2,Assumptions!$C$94:$M$94,Assumptions!$C$98:$M$98))))</f>
        <v>-36838.13314</v>
      </c>
      <c r="BS33" s="54">
        <f t="array" ref="BS33">-(IF(BS$2=1,Assumptions!$P34/12,-(SUMIF($D$2:$EE$2,BS$2-1,$D33:$EE33)/12)*(1+XLOOKUP(BS$2,Assumptions!$C$94:$M$94,Assumptions!$C$98:$M$98))))</f>
        <v>-36838.13314</v>
      </c>
      <c r="BT33" s="54">
        <f t="array" ref="BT33">-(IF(BT$2=1,Assumptions!$P34/12,-(SUMIF($D$2:$EE$2,BT$2-1,$D33:$EE33)/12)*(1+XLOOKUP(BT$2,Assumptions!$C$94:$M$94,Assumptions!$C$98:$M$98))))</f>
        <v>-36838.13314</v>
      </c>
      <c r="BU33" s="54">
        <f t="array" ref="BU33">-(IF(BU$2=1,Assumptions!$P34/12,-(SUMIF($D$2:$EE$2,BU$2-1,$D33:$EE33)/12)*(1+XLOOKUP(BU$2,Assumptions!$C$94:$M$94,Assumptions!$C$98:$M$98))))</f>
        <v>-36838.13314</v>
      </c>
      <c r="BV33" s="54">
        <f t="array" ref="BV33">-(IF(BV$2=1,Assumptions!$P34/12,-(SUMIF($D$2:$EE$2,BV$2-1,$D33:$EE33)/12)*(1+XLOOKUP(BV$2,Assumptions!$C$94:$M$94,Assumptions!$C$98:$M$98))))</f>
        <v>-36838.13314</v>
      </c>
      <c r="BW33" s="54">
        <f t="array" ref="BW33">-(IF(BW$2=1,Assumptions!$P34/12,-(SUMIF($D$2:$EE$2,BW$2-1,$D33:$EE33)/12)*(1+XLOOKUP(BW$2,Assumptions!$C$94:$M$94,Assumptions!$C$98:$M$98))))</f>
        <v>-36838.13314</v>
      </c>
      <c r="BX33" s="54">
        <f t="array" ref="BX33">-(IF(BX$2=1,Assumptions!$P34/12,-(SUMIF($D$2:$EE$2,BX$2-1,$D33:$EE33)/12)*(1+XLOOKUP(BX$2,Assumptions!$C$94:$M$94,Assumptions!$C$98:$M$98))))</f>
        <v>-37943.27714</v>
      </c>
      <c r="BY33" s="54">
        <f t="array" ref="BY33">-(IF(BY$2=1,Assumptions!$P34/12,-(SUMIF($D$2:$EE$2,BY$2-1,$D33:$EE33)/12)*(1+XLOOKUP(BY$2,Assumptions!$C$94:$M$94,Assumptions!$C$98:$M$98))))</f>
        <v>-37943.27714</v>
      </c>
      <c r="BZ33" s="54">
        <f t="array" ref="BZ33">-(IF(BZ$2=1,Assumptions!$P34/12,-(SUMIF($D$2:$EE$2,BZ$2-1,$D33:$EE33)/12)*(1+XLOOKUP(BZ$2,Assumptions!$C$94:$M$94,Assumptions!$C$98:$M$98))))</f>
        <v>-37943.27714</v>
      </c>
      <c r="CA33" s="54">
        <f t="array" ref="CA33">-(IF(CA$2=1,Assumptions!$P34/12,-(SUMIF($D$2:$EE$2,CA$2-1,$D33:$EE33)/12)*(1+XLOOKUP(CA$2,Assumptions!$C$94:$M$94,Assumptions!$C$98:$M$98))))</f>
        <v>-37943.27714</v>
      </c>
      <c r="CB33" s="54">
        <f t="array" ref="CB33">-(IF(CB$2=1,Assumptions!$P34/12,-(SUMIF($D$2:$EE$2,CB$2-1,$D33:$EE33)/12)*(1+XLOOKUP(CB$2,Assumptions!$C$94:$M$94,Assumptions!$C$98:$M$98))))</f>
        <v>-37943.27714</v>
      </c>
      <c r="CC33" s="54">
        <f t="array" ref="CC33">-(IF(CC$2=1,Assumptions!$P34/12,-(SUMIF($D$2:$EE$2,CC$2-1,$D33:$EE33)/12)*(1+XLOOKUP(CC$2,Assumptions!$C$94:$M$94,Assumptions!$C$98:$M$98))))</f>
        <v>-37943.27714</v>
      </c>
      <c r="CD33" s="54">
        <f t="array" ref="CD33">-(IF(CD$2=1,Assumptions!$P34/12,-(SUMIF($D$2:$EE$2,CD$2-1,$D33:$EE33)/12)*(1+XLOOKUP(CD$2,Assumptions!$C$94:$M$94,Assumptions!$C$98:$M$98))))</f>
        <v>-37943.27714</v>
      </c>
      <c r="CE33" s="54">
        <f t="array" ref="CE33">-(IF(CE$2=1,Assumptions!$P34/12,-(SUMIF($D$2:$EE$2,CE$2-1,$D33:$EE33)/12)*(1+XLOOKUP(CE$2,Assumptions!$C$94:$M$94,Assumptions!$C$98:$M$98))))</f>
        <v>-37943.27714</v>
      </c>
      <c r="CF33" s="54">
        <f t="array" ref="CF33">-(IF(CF$2=1,Assumptions!$P34/12,-(SUMIF($D$2:$EE$2,CF$2-1,$D33:$EE33)/12)*(1+XLOOKUP(CF$2,Assumptions!$C$94:$M$94,Assumptions!$C$98:$M$98))))</f>
        <v>-37943.27714</v>
      </c>
      <c r="CG33" s="54">
        <f t="array" ref="CG33">-(IF(CG$2=1,Assumptions!$P34/12,-(SUMIF($D$2:$EE$2,CG$2-1,$D33:$EE33)/12)*(1+XLOOKUP(CG$2,Assumptions!$C$94:$M$94,Assumptions!$C$98:$M$98))))</f>
        <v>-37943.27714</v>
      </c>
      <c r="CH33" s="54">
        <f t="array" ref="CH33">-(IF(CH$2=1,Assumptions!$P34/12,-(SUMIF($D$2:$EE$2,CH$2-1,$D33:$EE33)/12)*(1+XLOOKUP(CH$2,Assumptions!$C$94:$M$94,Assumptions!$C$98:$M$98))))</f>
        <v>-37943.27714</v>
      </c>
      <c r="CI33" s="54">
        <f t="array" ref="CI33">-(IF(CI$2=1,Assumptions!$P34/12,-(SUMIF($D$2:$EE$2,CI$2-1,$D33:$EE33)/12)*(1+XLOOKUP(CI$2,Assumptions!$C$94:$M$94,Assumptions!$C$98:$M$98))))</f>
        <v>-37943.27714</v>
      </c>
      <c r="CJ33" s="54">
        <f t="array" ref="CJ33">-(IF(CJ$2=1,Assumptions!$P34/12,-(SUMIF($D$2:$EE$2,CJ$2-1,$D33:$EE33)/12)*(1+XLOOKUP(CJ$2,Assumptions!$C$94:$M$94,Assumptions!$C$98:$M$98))))</f>
        <v>-39081.57545</v>
      </c>
      <c r="CK33" s="54">
        <f t="array" ref="CK33">-(IF(CK$2=1,Assumptions!$P34/12,-(SUMIF($D$2:$EE$2,CK$2-1,$D33:$EE33)/12)*(1+XLOOKUP(CK$2,Assumptions!$C$94:$M$94,Assumptions!$C$98:$M$98))))</f>
        <v>-39081.57545</v>
      </c>
      <c r="CL33" s="54">
        <f t="array" ref="CL33">-(IF(CL$2=1,Assumptions!$P34/12,-(SUMIF($D$2:$EE$2,CL$2-1,$D33:$EE33)/12)*(1+XLOOKUP(CL$2,Assumptions!$C$94:$M$94,Assumptions!$C$98:$M$98))))</f>
        <v>-39081.57545</v>
      </c>
      <c r="CM33" s="54">
        <f t="array" ref="CM33">-(IF(CM$2=1,Assumptions!$P34/12,-(SUMIF($D$2:$EE$2,CM$2-1,$D33:$EE33)/12)*(1+XLOOKUP(CM$2,Assumptions!$C$94:$M$94,Assumptions!$C$98:$M$98))))</f>
        <v>-39081.57545</v>
      </c>
      <c r="CN33" s="54">
        <f t="array" ref="CN33">-(IF(CN$2=1,Assumptions!$P34/12,-(SUMIF($D$2:$EE$2,CN$2-1,$D33:$EE33)/12)*(1+XLOOKUP(CN$2,Assumptions!$C$94:$M$94,Assumptions!$C$98:$M$98))))</f>
        <v>-39081.57545</v>
      </c>
      <c r="CO33" s="54">
        <f t="array" ref="CO33">-(IF(CO$2=1,Assumptions!$P34/12,-(SUMIF($D$2:$EE$2,CO$2-1,$D33:$EE33)/12)*(1+XLOOKUP(CO$2,Assumptions!$C$94:$M$94,Assumptions!$C$98:$M$98))))</f>
        <v>-39081.57545</v>
      </c>
      <c r="CP33" s="54">
        <f t="array" ref="CP33">-(IF(CP$2=1,Assumptions!$P34/12,-(SUMIF($D$2:$EE$2,CP$2-1,$D33:$EE33)/12)*(1+XLOOKUP(CP$2,Assumptions!$C$94:$M$94,Assumptions!$C$98:$M$98))))</f>
        <v>-39081.57545</v>
      </c>
      <c r="CQ33" s="54">
        <f t="array" ref="CQ33">-(IF(CQ$2=1,Assumptions!$P34/12,-(SUMIF($D$2:$EE$2,CQ$2-1,$D33:$EE33)/12)*(1+XLOOKUP(CQ$2,Assumptions!$C$94:$M$94,Assumptions!$C$98:$M$98))))</f>
        <v>-39081.57545</v>
      </c>
      <c r="CR33" s="54">
        <f t="array" ref="CR33">-(IF(CR$2=1,Assumptions!$P34/12,-(SUMIF($D$2:$EE$2,CR$2-1,$D33:$EE33)/12)*(1+XLOOKUP(CR$2,Assumptions!$C$94:$M$94,Assumptions!$C$98:$M$98))))</f>
        <v>-39081.57545</v>
      </c>
      <c r="CS33" s="54">
        <f t="array" ref="CS33">-(IF(CS$2=1,Assumptions!$P34/12,-(SUMIF($D$2:$EE$2,CS$2-1,$D33:$EE33)/12)*(1+XLOOKUP(CS$2,Assumptions!$C$94:$M$94,Assumptions!$C$98:$M$98))))</f>
        <v>-39081.57545</v>
      </c>
      <c r="CT33" s="54">
        <f t="array" ref="CT33">-(IF(CT$2=1,Assumptions!$P34/12,-(SUMIF($D$2:$EE$2,CT$2-1,$D33:$EE33)/12)*(1+XLOOKUP(CT$2,Assumptions!$C$94:$M$94,Assumptions!$C$98:$M$98))))</f>
        <v>-39081.57545</v>
      </c>
      <c r="CU33" s="54">
        <f t="array" ref="CU33">-(IF(CU$2=1,Assumptions!$P34/12,-(SUMIF($D$2:$EE$2,CU$2-1,$D33:$EE33)/12)*(1+XLOOKUP(CU$2,Assumptions!$C$94:$M$94,Assumptions!$C$98:$M$98))))</f>
        <v>-39081.57545</v>
      </c>
      <c r="CV33" s="54">
        <f t="array" ref="CV33">-(IF(CV$2=1,Assumptions!$P34/12,-(SUMIF($D$2:$EE$2,CV$2-1,$D33:$EE33)/12)*(1+XLOOKUP(CV$2,Assumptions!$C$94:$M$94,Assumptions!$C$98:$M$98))))</f>
        <v>-40254.02272</v>
      </c>
      <c r="CW33" s="54">
        <f t="array" ref="CW33">-(IF(CW$2=1,Assumptions!$P34/12,-(SUMIF($D$2:$EE$2,CW$2-1,$D33:$EE33)/12)*(1+XLOOKUP(CW$2,Assumptions!$C$94:$M$94,Assumptions!$C$98:$M$98))))</f>
        <v>-40254.02272</v>
      </c>
      <c r="CX33" s="54">
        <f t="array" ref="CX33">-(IF(CX$2=1,Assumptions!$P34/12,-(SUMIF($D$2:$EE$2,CX$2-1,$D33:$EE33)/12)*(1+XLOOKUP(CX$2,Assumptions!$C$94:$M$94,Assumptions!$C$98:$M$98))))</f>
        <v>-40254.02272</v>
      </c>
      <c r="CY33" s="54">
        <f t="array" ref="CY33">-(IF(CY$2=1,Assumptions!$P34/12,-(SUMIF($D$2:$EE$2,CY$2-1,$D33:$EE33)/12)*(1+XLOOKUP(CY$2,Assumptions!$C$94:$M$94,Assumptions!$C$98:$M$98))))</f>
        <v>-40254.02272</v>
      </c>
      <c r="CZ33" s="54">
        <f t="array" ref="CZ33">-(IF(CZ$2=1,Assumptions!$P34/12,-(SUMIF($D$2:$EE$2,CZ$2-1,$D33:$EE33)/12)*(1+XLOOKUP(CZ$2,Assumptions!$C$94:$M$94,Assumptions!$C$98:$M$98))))</f>
        <v>-40254.02272</v>
      </c>
      <c r="DA33" s="54">
        <f t="array" ref="DA33">-(IF(DA$2=1,Assumptions!$P34/12,-(SUMIF($D$2:$EE$2,DA$2-1,$D33:$EE33)/12)*(1+XLOOKUP(DA$2,Assumptions!$C$94:$M$94,Assumptions!$C$98:$M$98))))</f>
        <v>-40254.02272</v>
      </c>
      <c r="DB33" s="54">
        <f t="array" ref="DB33">-(IF(DB$2=1,Assumptions!$P34/12,-(SUMIF($D$2:$EE$2,DB$2-1,$D33:$EE33)/12)*(1+XLOOKUP(DB$2,Assumptions!$C$94:$M$94,Assumptions!$C$98:$M$98))))</f>
        <v>-40254.02272</v>
      </c>
      <c r="DC33" s="54">
        <f t="array" ref="DC33">-(IF(DC$2=1,Assumptions!$P34/12,-(SUMIF($D$2:$EE$2,DC$2-1,$D33:$EE33)/12)*(1+XLOOKUP(DC$2,Assumptions!$C$94:$M$94,Assumptions!$C$98:$M$98))))</f>
        <v>-40254.02272</v>
      </c>
      <c r="DD33" s="54">
        <f t="array" ref="DD33">-(IF(DD$2=1,Assumptions!$P34/12,-(SUMIF($D$2:$EE$2,DD$2-1,$D33:$EE33)/12)*(1+XLOOKUP(DD$2,Assumptions!$C$94:$M$94,Assumptions!$C$98:$M$98))))</f>
        <v>-40254.02272</v>
      </c>
      <c r="DE33" s="54">
        <f t="array" ref="DE33">-(IF(DE$2=1,Assumptions!$P34/12,-(SUMIF($D$2:$EE$2,DE$2-1,$D33:$EE33)/12)*(1+XLOOKUP(DE$2,Assumptions!$C$94:$M$94,Assumptions!$C$98:$M$98))))</f>
        <v>-40254.02272</v>
      </c>
      <c r="DF33" s="54">
        <f t="array" ref="DF33">-(IF(DF$2=1,Assumptions!$P34/12,-(SUMIF($D$2:$EE$2,DF$2-1,$D33:$EE33)/12)*(1+XLOOKUP(DF$2,Assumptions!$C$94:$M$94,Assumptions!$C$98:$M$98))))</f>
        <v>-40254.02272</v>
      </c>
      <c r="DG33" s="54">
        <f t="array" ref="DG33">-(IF(DG$2=1,Assumptions!$P34/12,-(SUMIF($D$2:$EE$2,DG$2-1,$D33:$EE33)/12)*(1+XLOOKUP(DG$2,Assumptions!$C$94:$M$94,Assumptions!$C$98:$M$98))))</f>
        <v>-40254.02272</v>
      </c>
      <c r="DH33" s="54">
        <f t="array" ref="DH33">-(IF(DH$2=1,Assumptions!$P34/12,-(SUMIF($D$2:$EE$2,DH$2-1,$D33:$EE33)/12)*(1+XLOOKUP(DH$2,Assumptions!$C$94:$M$94,Assumptions!$C$98:$M$98))))</f>
        <v>-41461.6434</v>
      </c>
      <c r="DI33" s="54">
        <f t="array" ref="DI33">-(IF(DI$2=1,Assumptions!$P34/12,-(SUMIF($D$2:$EE$2,DI$2-1,$D33:$EE33)/12)*(1+XLOOKUP(DI$2,Assumptions!$C$94:$M$94,Assumptions!$C$98:$M$98))))</f>
        <v>-41461.6434</v>
      </c>
      <c r="DJ33" s="54">
        <f t="array" ref="DJ33">-(IF(DJ$2=1,Assumptions!$P34/12,-(SUMIF($D$2:$EE$2,DJ$2-1,$D33:$EE33)/12)*(1+XLOOKUP(DJ$2,Assumptions!$C$94:$M$94,Assumptions!$C$98:$M$98))))</f>
        <v>-41461.6434</v>
      </c>
      <c r="DK33" s="54">
        <f t="array" ref="DK33">-(IF(DK$2=1,Assumptions!$P34/12,-(SUMIF($D$2:$EE$2,DK$2-1,$D33:$EE33)/12)*(1+XLOOKUP(DK$2,Assumptions!$C$94:$M$94,Assumptions!$C$98:$M$98))))</f>
        <v>-41461.6434</v>
      </c>
      <c r="DL33" s="54">
        <f t="array" ref="DL33">-(IF(DL$2=1,Assumptions!$P34/12,-(SUMIF($D$2:$EE$2,DL$2-1,$D33:$EE33)/12)*(1+XLOOKUP(DL$2,Assumptions!$C$94:$M$94,Assumptions!$C$98:$M$98))))</f>
        <v>-41461.6434</v>
      </c>
      <c r="DM33" s="54">
        <f t="array" ref="DM33">-(IF(DM$2=1,Assumptions!$P34/12,-(SUMIF($D$2:$EE$2,DM$2-1,$D33:$EE33)/12)*(1+XLOOKUP(DM$2,Assumptions!$C$94:$M$94,Assumptions!$C$98:$M$98))))</f>
        <v>-41461.6434</v>
      </c>
      <c r="DN33" s="54">
        <f t="array" ref="DN33">-(IF(DN$2=1,Assumptions!$P34/12,-(SUMIF($D$2:$EE$2,DN$2-1,$D33:$EE33)/12)*(1+XLOOKUP(DN$2,Assumptions!$C$94:$M$94,Assumptions!$C$98:$M$98))))</f>
        <v>-41461.6434</v>
      </c>
      <c r="DO33" s="54">
        <f t="array" ref="DO33">-(IF(DO$2=1,Assumptions!$P34/12,-(SUMIF($D$2:$EE$2,DO$2-1,$D33:$EE33)/12)*(1+XLOOKUP(DO$2,Assumptions!$C$94:$M$94,Assumptions!$C$98:$M$98))))</f>
        <v>-41461.6434</v>
      </c>
      <c r="DP33" s="54">
        <f t="array" ref="DP33">-(IF(DP$2=1,Assumptions!$P34/12,-(SUMIF($D$2:$EE$2,DP$2-1,$D33:$EE33)/12)*(1+XLOOKUP(DP$2,Assumptions!$C$94:$M$94,Assumptions!$C$98:$M$98))))</f>
        <v>-41461.6434</v>
      </c>
      <c r="DQ33" s="54">
        <f t="array" ref="DQ33">-(IF(DQ$2=1,Assumptions!$P34/12,-(SUMIF($D$2:$EE$2,DQ$2-1,$D33:$EE33)/12)*(1+XLOOKUP(DQ$2,Assumptions!$C$94:$M$94,Assumptions!$C$98:$M$98))))</f>
        <v>-41461.6434</v>
      </c>
      <c r="DR33" s="54">
        <f t="array" ref="DR33">-(IF(DR$2=1,Assumptions!$P34/12,-(SUMIF($D$2:$EE$2,DR$2-1,$D33:$EE33)/12)*(1+XLOOKUP(DR$2,Assumptions!$C$94:$M$94,Assumptions!$C$98:$M$98))))</f>
        <v>-41461.6434</v>
      </c>
      <c r="DS33" s="54">
        <f t="array" ref="DS33">-(IF(DS$2=1,Assumptions!$P34/12,-(SUMIF($D$2:$EE$2,DS$2-1,$D33:$EE33)/12)*(1+XLOOKUP(DS$2,Assumptions!$C$94:$M$94,Assumptions!$C$98:$M$98))))</f>
        <v>-41461.6434</v>
      </c>
      <c r="DT33" s="54">
        <f t="array" ref="DT33">-(IF(DT$2=1,Assumptions!$P34/12,-(SUMIF($D$2:$EE$2,DT$2-1,$D33:$EE33)/12)*(1+XLOOKUP(DT$2,Assumptions!$C$94:$M$94,Assumptions!$C$98:$M$98))))</f>
        <v>-42705.4927</v>
      </c>
      <c r="DU33" s="54">
        <f t="array" ref="DU33">-(IF(DU$2=1,Assumptions!$P34/12,-(SUMIF($D$2:$EE$2,DU$2-1,$D33:$EE33)/12)*(1+XLOOKUP(DU$2,Assumptions!$C$94:$M$94,Assumptions!$C$98:$M$98))))</f>
        <v>-42705.4927</v>
      </c>
      <c r="DV33" s="54">
        <f t="array" ref="DV33">-(IF(DV$2=1,Assumptions!$P34/12,-(SUMIF($D$2:$EE$2,DV$2-1,$D33:$EE33)/12)*(1+XLOOKUP(DV$2,Assumptions!$C$94:$M$94,Assumptions!$C$98:$M$98))))</f>
        <v>-42705.4927</v>
      </c>
      <c r="DW33" s="54">
        <f t="array" ref="DW33">-(IF(DW$2=1,Assumptions!$P34/12,-(SUMIF($D$2:$EE$2,DW$2-1,$D33:$EE33)/12)*(1+XLOOKUP(DW$2,Assumptions!$C$94:$M$94,Assumptions!$C$98:$M$98))))</f>
        <v>-42705.4927</v>
      </c>
      <c r="DX33" s="54">
        <f t="array" ref="DX33">-(IF(DX$2=1,Assumptions!$P34/12,-(SUMIF($D$2:$EE$2,DX$2-1,$D33:$EE33)/12)*(1+XLOOKUP(DX$2,Assumptions!$C$94:$M$94,Assumptions!$C$98:$M$98))))</f>
        <v>-42705.4927</v>
      </c>
      <c r="DY33" s="54">
        <f t="array" ref="DY33">-(IF(DY$2=1,Assumptions!$P34/12,-(SUMIF($D$2:$EE$2,DY$2-1,$D33:$EE33)/12)*(1+XLOOKUP(DY$2,Assumptions!$C$94:$M$94,Assumptions!$C$98:$M$98))))</f>
        <v>-42705.4927</v>
      </c>
      <c r="DZ33" s="54">
        <f t="array" ref="DZ33">-(IF(DZ$2=1,Assumptions!$P34/12,-(SUMIF($D$2:$EE$2,DZ$2-1,$D33:$EE33)/12)*(1+XLOOKUP(DZ$2,Assumptions!$C$94:$M$94,Assumptions!$C$98:$M$98))))</f>
        <v>-42705.4927</v>
      </c>
      <c r="EA33" s="54">
        <f t="array" ref="EA33">-(IF(EA$2=1,Assumptions!$P34/12,-(SUMIF($D$2:$EE$2,EA$2-1,$D33:$EE33)/12)*(1+XLOOKUP(EA$2,Assumptions!$C$94:$M$94,Assumptions!$C$98:$M$98))))</f>
        <v>-42705.4927</v>
      </c>
      <c r="EB33" s="54">
        <f t="array" ref="EB33">-(IF(EB$2=1,Assumptions!$P34/12,-(SUMIF($D$2:$EE$2,EB$2-1,$D33:$EE33)/12)*(1+XLOOKUP(EB$2,Assumptions!$C$94:$M$94,Assumptions!$C$98:$M$98))))</f>
        <v>-42705.4927</v>
      </c>
      <c r="EC33" s="54">
        <f t="array" ref="EC33">-(IF(EC$2=1,Assumptions!$P34/12,-(SUMIF($D$2:$EE$2,EC$2-1,$D33:$EE33)/12)*(1+XLOOKUP(EC$2,Assumptions!$C$94:$M$94,Assumptions!$C$98:$M$98))))</f>
        <v>-42705.4927</v>
      </c>
      <c r="ED33" s="54">
        <f t="array" ref="ED33">-(IF(ED$2=1,Assumptions!$P34/12,-(SUMIF($D$2:$EE$2,ED$2-1,$D33:$EE33)/12)*(1+XLOOKUP(ED$2,Assumptions!$C$94:$M$94,Assumptions!$C$98:$M$98))))</f>
        <v>-42705.4927</v>
      </c>
      <c r="EE33" s="54">
        <f t="array" ref="EE33">-(IF(EE$2=1,Assumptions!$P34/12,-(SUMIF($D$2:$EE$2,EE$2-1,$D33:$EE33)/12)*(1+XLOOKUP(EE$2,Assumptions!$C$94:$M$94,Assumptions!$C$98:$M$98))))</f>
        <v>-42705.4927</v>
      </c>
    </row>
    <row r="34" ht="15.75" customHeight="1">
      <c r="A34" s="1"/>
      <c r="B34" s="1"/>
      <c r="C34" s="1" t="str">
        <f>Assumptions!J35</f>
        <v>Insurance</v>
      </c>
      <c r="D34" s="54">
        <f t="array" ref="D34">-(IF(D$2=1,Assumptions!$P35/12,-(SUMIF($D$2:$EE$2,D$2-1,$D34:$EE34)/12)*(1+XLOOKUP(D$2,Assumptions!$C$94:$M$94,Assumptions!$C$98:$M$98))))</f>
        <v>-11867.11153</v>
      </c>
      <c r="E34" s="54">
        <f t="array" ref="E34">-(IF(E$2=1,Assumptions!$P35/12,-(SUMIF($D$2:$EE$2,E$2-1,$D34:$EE34)/12)*(1+XLOOKUP(E$2,Assumptions!$C$94:$M$94,Assumptions!$C$98:$M$98))))</f>
        <v>-11867.11153</v>
      </c>
      <c r="F34" s="54">
        <f t="array" ref="F34">-(IF(F$2=1,Assumptions!$P35/12,-(SUMIF($D$2:$EE$2,F$2-1,$D34:$EE34)/12)*(1+XLOOKUP(F$2,Assumptions!$C$94:$M$94,Assumptions!$C$98:$M$98))))</f>
        <v>-11867.11153</v>
      </c>
      <c r="G34" s="54">
        <f t="array" ref="G34">-(IF(G$2=1,Assumptions!$P35/12,-(SUMIF($D$2:$EE$2,G$2-1,$D34:$EE34)/12)*(1+XLOOKUP(G$2,Assumptions!$C$94:$M$94,Assumptions!$C$98:$M$98))))</f>
        <v>-11867.11153</v>
      </c>
      <c r="H34" s="54">
        <f t="array" ref="H34">-(IF(H$2=1,Assumptions!$P35/12,-(SUMIF($D$2:$EE$2,H$2-1,$D34:$EE34)/12)*(1+XLOOKUP(H$2,Assumptions!$C$94:$M$94,Assumptions!$C$98:$M$98))))</f>
        <v>-11867.11153</v>
      </c>
      <c r="I34" s="54">
        <f t="array" ref="I34">-(IF(I$2=1,Assumptions!$P35/12,-(SUMIF($D$2:$EE$2,I$2-1,$D34:$EE34)/12)*(1+XLOOKUP(I$2,Assumptions!$C$94:$M$94,Assumptions!$C$98:$M$98))))</f>
        <v>-11867.11153</v>
      </c>
      <c r="J34" s="54">
        <f t="array" ref="J34">-(IF(J$2=1,Assumptions!$P35/12,-(SUMIF($D$2:$EE$2,J$2-1,$D34:$EE34)/12)*(1+XLOOKUP(J$2,Assumptions!$C$94:$M$94,Assumptions!$C$98:$M$98))))</f>
        <v>-11867.11153</v>
      </c>
      <c r="K34" s="54">
        <f t="array" ref="K34">-(IF(K$2=1,Assumptions!$P35/12,-(SUMIF($D$2:$EE$2,K$2-1,$D34:$EE34)/12)*(1+XLOOKUP(K$2,Assumptions!$C$94:$M$94,Assumptions!$C$98:$M$98))))</f>
        <v>-11867.11153</v>
      </c>
      <c r="L34" s="54">
        <f t="array" ref="L34">-(IF(L$2=1,Assumptions!$P35/12,-(SUMIF($D$2:$EE$2,L$2-1,$D34:$EE34)/12)*(1+XLOOKUP(L$2,Assumptions!$C$94:$M$94,Assumptions!$C$98:$M$98))))</f>
        <v>-11867.11153</v>
      </c>
      <c r="M34" s="54">
        <f t="array" ref="M34">-(IF(M$2=1,Assumptions!$P35/12,-(SUMIF($D$2:$EE$2,M$2-1,$D34:$EE34)/12)*(1+XLOOKUP(M$2,Assumptions!$C$94:$M$94,Assumptions!$C$98:$M$98))))</f>
        <v>-11867.11153</v>
      </c>
      <c r="N34" s="54">
        <f t="array" ref="N34">-(IF(N$2=1,Assumptions!$P35/12,-(SUMIF($D$2:$EE$2,N$2-1,$D34:$EE34)/12)*(1+XLOOKUP(N$2,Assumptions!$C$94:$M$94,Assumptions!$C$98:$M$98))))</f>
        <v>-11867.11153</v>
      </c>
      <c r="O34" s="54">
        <f t="array" ref="O34">-(IF(O$2=1,Assumptions!$P35/12,-(SUMIF($D$2:$EE$2,O$2-1,$D34:$EE34)/12)*(1+XLOOKUP(O$2,Assumptions!$C$94:$M$94,Assumptions!$C$98:$M$98))))</f>
        <v>-11867.11153</v>
      </c>
      <c r="P34" s="54">
        <f t="array" ref="P34">-(IF(P$2=1,Assumptions!$P35/12,-(SUMIF($D$2:$EE$2,P$2-1,$D34:$EE34)/12)*(1+XLOOKUP(P$2,Assumptions!$C$94:$M$94,Assumptions!$C$98:$M$98))))</f>
        <v>-12223.12487</v>
      </c>
      <c r="Q34" s="54">
        <f t="array" ref="Q34">-(IF(Q$2=1,Assumptions!$P35/12,-(SUMIF($D$2:$EE$2,Q$2-1,$D34:$EE34)/12)*(1+XLOOKUP(Q$2,Assumptions!$C$94:$M$94,Assumptions!$C$98:$M$98))))</f>
        <v>-12223.12487</v>
      </c>
      <c r="R34" s="54">
        <f t="array" ref="R34">-(IF(R$2=1,Assumptions!$P35/12,-(SUMIF($D$2:$EE$2,R$2-1,$D34:$EE34)/12)*(1+XLOOKUP(R$2,Assumptions!$C$94:$M$94,Assumptions!$C$98:$M$98))))</f>
        <v>-12223.12487</v>
      </c>
      <c r="S34" s="54">
        <f t="array" ref="S34">-(IF(S$2=1,Assumptions!$P35/12,-(SUMIF($D$2:$EE$2,S$2-1,$D34:$EE34)/12)*(1+XLOOKUP(S$2,Assumptions!$C$94:$M$94,Assumptions!$C$98:$M$98))))</f>
        <v>-12223.12487</v>
      </c>
      <c r="T34" s="54">
        <f t="array" ref="T34">-(IF(T$2=1,Assumptions!$P35/12,-(SUMIF($D$2:$EE$2,T$2-1,$D34:$EE34)/12)*(1+XLOOKUP(T$2,Assumptions!$C$94:$M$94,Assumptions!$C$98:$M$98))))</f>
        <v>-12223.12487</v>
      </c>
      <c r="U34" s="54">
        <f t="array" ref="U34">-(IF(U$2=1,Assumptions!$P35/12,-(SUMIF($D$2:$EE$2,U$2-1,$D34:$EE34)/12)*(1+XLOOKUP(U$2,Assumptions!$C$94:$M$94,Assumptions!$C$98:$M$98))))</f>
        <v>-12223.12487</v>
      </c>
      <c r="V34" s="54">
        <f t="array" ref="V34">-(IF(V$2=1,Assumptions!$P35/12,-(SUMIF($D$2:$EE$2,V$2-1,$D34:$EE34)/12)*(1+XLOOKUP(V$2,Assumptions!$C$94:$M$94,Assumptions!$C$98:$M$98))))</f>
        <v>-12223.12487</v>
      </c>
      <c r="W34" s="54">
        <f t="array" ref="W34">-(IF(W$2=1,Assumptions!$P35/12,-(SUMIF($D$2:$EE$2,W$2-1,$D34:$EE34)/12)*(1+XLOOKUP(W$2,Assumptions!$C$94:$M$94,Assumptions!$C$98:$M$98))))</f>
        <v>-12223.12487</v>
      </c>
      <c r="X34" s="54">
        <f t="array" ref="X34">-(IF(X$2=1,Assumptions!$P35/12,-(SUMIF($D$2:$EE$2,X$2-1,$D34:$EE34)/12)*(1+XLOOKUP(X$2,Assumptions!$C$94:$M$94,Assumptions!$C$98:$M$98))))</f>
        <v>-12223.12487</v>
      </c>
      <c r="Y34" s="54">
        <f t="array" ref="Y34">-(IF(Y$2=1,Assumptions!$P35/12,-(SUMIF($D$2:$EE$2,Y$2-1,$D34:$EE34)/12)*(1+XLOOKUP(Y$2,Assumptions!$C$94:$M$94,Assumptions!$C$98:$M$98))))</f>
        <v>-12223.12487</v>
      </c>
      <c r="Z34" s="54">
        <f t="array" ref="Z34">-(IF(Z$2=1,Assumptions!$P35/12,-(SUMIF($D$2:$EE$2,Z$2-1,$D34:$EE34)/12)*(1+XLOOKUP(Z$2,Assumptions!$C$94:$M$94,Assumptions!$C$98:$M$98))))</f>
        <v>-12223.12487</v>
      </c>
      <c r="AA34" s="54">
        <f t="array" ref="AA34">-(IF(AA$2=1,Assumptions!$P35/12,-(SUMIF($D$2:$EE$2,AA$2-1,$D34:$EE34)/12)*(1+XLOOKUP(AA$2,Assumptions!$C$94:$M$94,Assumptions!$C$98:$M$98))))</f>
        <v>-12223.12487</v>
      </c>
      <c r="AB34" s="54">
        <f t="array" ref="AB34">-(IF(AB$2=1,Assumptions!$P35/12,-(SUMIF($D$2:$EE$2,AB$2-1,$D34:$EE34)/12)*(1+XLOOKUP(AB$2,Assumptions!$C$94:$M$94,Assumptions!$C$98:$M$98))))</f>
        <v>-12589.81862</v>
      </c>
      <c r="AC34" s="54">
        <f t="array" ref="AC34">-(IF(AC$2=1,Assumptions!$P35/12,-(SUMIF($D$2:$EE$2,AC$2-1,$D34:$EE34)/12)*(1+XLOOKUP(AC$2,Assumptions!$C$94:$M$94,Assumptions!$C$98:$M$98))))</f>
        <v>-12589.81862</v>
      </c>
      <c r="AD34" s="54">
        <f t="array" ref="AD34">-(IF(AD$2=1,Assumptions!$P35/12,-(SUMIF($D$2:$EE$2,AD$2-1,$D34:$EE34)/12)*(1+XLOOKUP(AD$2,Assumptions!$C$94:$M$94,Assumptions!$C$98:$M$98))))</f>
        <v>-12589.81862</v>
      </c>
      <c r="AE34" s="54">
        <f t="array" ref="AE34">-(IF(AE$2=1,Assumptions!$P35/12,-(SUMIF($D$2:$EE$2,AE$2-1,$D34:$EE34)/12)*(1+XLOOKUP(AE$2,Assumptions!$C$94:$M$94,Assumptions!$C$98:$M$98))))</f>
        <v>-12589.81862</v>
      </c>
      <c r="AF34" s="54">
        <f t="array" ref="AF34">-(IF(AF$2=1,Assumptions!$P35/12,-(SUMIF($D$2:$EE$2,AF$2-1,$D34:$EE34)/12)*(1+XLOOKUP(AF$2,Assumptions!$C$94:$M$94,Assumptions!$C$98:$M$98))))</f>
        <v>-12589.81862</v>
      </c>
      <c r="AG34" s="54">
        <f t="array" ref="AG34">-(IF(AG$2=1,Assumptions!$P35/12,-(SUMIF($D$2:$EE$2,AG$2-1,$D34:$EE34)/12)*(1+XLOOKUP(AG$2,Assumptions!$C$94:$M$94,Assumptions!$C$98:$M$98))))</f>
        <v>-12589.81862</v>
      </c>
      <c r="AH34" s="54">
        <f t="array" ref="AH34">-(IF(AH$2=1,Assumptions!$P35/12,-(SUMIF($D$2:$EE$2,AH$2-1,$D34:$EE34)/12)*(1+XLOOKUP(AH$2,Assumptions!$C$94:$M$94,Assumptions!$C$98:$M$98))))</f>
        <v>-12589.81862</v>
      </c>
      <c r="AI34" s="54">
        <f t="array" ref="AI34">-(IF(AI$2=1,Assumptions!$P35/12,-(SUMIF($D$2:$EE$2,AI$2-1,$D34:$EE34)/12)*(1+XLOOKUP(AI$2,Assumptions!$C$94:$M$94,Assumptions!$C$98:$M$98))))</f>
        <v>-12589.81862</v>
      </c>
      <c r="AJ34" s="54">
        <f t="array" ref="AJ34">-(IF(AJ$2=1,Assumptions!$P35/12,-(SUMIF($D$2:$EE$2,AJ$2-1,$D34:$EE34)/12)*(1+XLOOKUP(AJ$2,Assumptions!$C$94:$M$94,Assumptions!$C$98:$M$98))))</f>
        <v>-12589.81862</v>
      </c>
      <c r="AK34" s="54">
        <f t="array" ref="AK34">-(IF(AK$2=1,Assumptions!$P35/12,-(SUMIF($D$2:$EE$2,AK$2-1,$D34:$EE34)/12)*(1+XLOOKUP(AK$2,Assumptions!$C$94:$M$94,Assumptions!$C$98:$M$98))))</f>
        <v>-12589.81862</v>
      </c>
      <c r="AL34" s="54">
        <f t="array" ref="AL34">-(IF(AL$2=1,Assumptions!$P35/12,-(SUMIF($D$2:$EE$2,AL$2-1,$D34:$EE34)/12)*(1+XLOOKUP(AL$2,Assumptions!$C$94:$M$94,Assumptions!$C$98:$M$98))))</f>
        <v>-12589.81862</v>
      </c>
      <c r="AM34" s="54">
        <f t="array" ref="AM34">-(IF(AM$2=1,Assumptions!$P35/12,-(SUMIF($D$2:$EE$2,AM$2-1,$D34:$EE34)/12)*(1+XLOOKUP(AM$2,Assumptions!$C$94:$M$94,Assumptions!$C$98:$M$98))))</f>
        <v>-12589.81862</v>
      </c>
      <c r="AN34" s="54">
        <f t="array" ref="AN34">-(IF(AN$2=1,Assumptions!$P35/12,-(SUMIF($D$2:$EE$2,AN$2-1,$D34:$EE34)/12)*(1+XLOOKUP(AN$2,Assumptions!$C$94:$M$94,Assumptions!$C$98:$M$98))))</f>
        <v>-12967.51318</v>
      </c>
      <c r="AO34" s="54">
        <f t="array" ref="AO34">-(IF(AO$2=1,Assumptions!$P35/12,-(SUMIF($D$2:$EE$2,AO$2-1,$D34:$EE34)/12)*(1+XLOOKUP(AO$2,Assumptions!$C$94:$M$94,Assumptions!$C$98:$M$98))))</f>
        <v>-12967.51318</v>
      </c>
      <c r="AP34" s="54">
        <f t="array" ref="AP34">-(IF(AP$2=1,Assumptions!$P35/12,-(SUMIF($D$2:$EE$2,AP$2-1,$D34:$EE34)/12)*(1+XLOOKUP(AP$2,Assumptions!$C$94:$M$94,Assumptions!$C$98:$M$98))))</f>
        <v>-12967.51318</v>
      </c>
      <c r="AQ34" s="54">
        <f t="array" ref="AQ34">-(IF(AQ$2=1,Assumptions!$P35/12,-(SUMIF($D$2:$EE$2,AQ$2-1,$D34:$EE34)/12)*(1+XLOOKUP(AQ$2,Assumptions!$C$94:$M$94,Assumptions!$C$98:$M$98))))</f>
        <v>-12967.51318</v>
      </c>
      <c r="AR34" s="54">
        <f t="array" ref="AR34">-(IF(AR$2=1,Assumptions!$P35/12,-(SUMIF($D$2:$EE$2,AR$2-1,$D34:$EE34)/12)*(1+XLOOKUP(AR$2,Assumptions!$C$94:$M$94,Assumptions!$C$98:$M$98))))</f>
        <v>-12967.51318</v>
      </c>
      <c r="AS34" s="54">
        <f t="array" ref="AS34">-(IF(AS$2=1,Assumptions!$P35/12,-(SUMIF($D$2:$EE$2,AS$2-1,$D34:$EE34)/12)*(1+XLOOKUP(AS$2,Assumptions!$C$94:$M$94,Assumptions!$C$98:$M$98))))</f>
        <v>-12967.51318</v>
      </c>
      <c r="AT34" s="54">
        <f t="array" ref="AT34">-(IF(AT$2=1,Assumptions!$P35/12,-(SUMIF($D$2:$EE$2,AT$2-1,$D34:$EE34)/12)*(1+XLOOKUP(AT$2,Assumptions!$C$94:$M$94,Assumptions!$C$98:$M$98))))</f>
        <v>-12967.51318</v>
      </c>
      <c r="AU34" s="54">
        <f t="array" ref="AU34">-(IF(AU$2=1,Assumptions!$P35/12,-(SUMIF($D$2:$EE$2,AU$2-1,$D34:$EE34)/12)*(1+XLOOKUP(AU$2,Assumptions!$C$94:$M$94,Assumptions!$C$98:$M$98))))</f>
        <v>-12967.51318</v>
      </c>
      <c r="AV34" s="54">
        <f t="array" ref="AV34">-(IF(AV$2=1,Assumptions!$P35/12,-(SUMIF($D$2:$EE$2,AV$2-1,$D34:$EE34)/12)*(1+XLOOKUP(AV$2,Assumptions!$C$94:$M$94,Assumptions!$C$98:$M$98))))</f>
        <v>-12967.51318</v>
      </c>
      <c r="AW34" s="54">
        <f t="array" ref="AW34">-(IF(AW$2=1,Assumptions!$P35/12,-(SUMIF($D$2:$EE$2,AW$2-1,$D34:$EE34)/12)*(1+XLOOKUP(AW$2,Assumptions!$C$94:$M$94,Assumptions!$C$98:$M$98))))</f>
        <v>-12967.51318</v>
      </c>
      <c r="AX34" s="54">
        <f t="array" ref="AX34">-(IF(AX$2=1,Assumptions!$P35/12,-(SUMIF($D$2:$EE$2,AX$2-1,$D34:$EE34)/12)*(1+XLOOKUP(AX$2,Assumptions!$C$94:$M$94,Assumptions!$C$98:$M$98))))</f>
        <v>-12967.51318</v>
      </c>
      <c r="AY34" s="54">
        <f t="array" ref="AY34">-(IF(AY$2=1,Assumptions!$P35/12,-(SUMIF($D$2:$EE$2,AY$2-1,$D34:$EE34)/12)*(1+XLOOKUP(AY$2,Assumptions!$C$94:$M$94,Assumptions!$C$98:$M$98))))</f>
        <v>-12967.51318</v>
      </c>
      <c r="AZ34" s="54">
        <f t="array" ref="AZ34">-(IF(AZ$2=1,Assumptions!$P35/12,-(SUMIF($D$2:$EE$2,AZ$2-1,$D34:$EE34)/12)*(1+XLOOKUP(AZ$2,Assumptions!$C$94:$M$94,Assumptions!$C$98:$M$98))))</f>
        <v>-13356.53857</v>
      </c>
      <c r="BA34" s="54">
        <f t="array" ref="BA34">-(IF(BA$2=1,Assumptions!$P35/12,-(SUMIF($D$2:$EE$2,BA$2-1,$D34:$EE34)/12)*(1+XLOOKUP(BA$2,Assumptions!$C$94:$M$94,Assumptions!$C$98:$M$98))))</f>
        <v>-13356.53857</v>
      </c>
      <c r="BB34" s="54">
        <f t="array" ref="BB34">-(IF(BB$2=1,Assumptions!$P35/12,-(SUMIF($D$2:$EE$2,BB$2-1,$D34:$EE34)/12)*(1+XLOOKUP(BB$2,Assumptions!$C$94:$M$94,Assumptions!$C$98:$M$98))))</f>
        <v>-13356.53857</v>
      </c>
      <c r="BC34" s="54">
        <f t="array" ref="BC34">-(IF(BC$2=1,Assumptions!$P35/12,-(SUMIF($D$2:$EE$2,BC$2-1,$D34:$EE34)/12)*(1+XLOOKUP(BC$2,Assumptions!$C$94:$M$94,Assumptions!$C$98:$M$98))))</f>
        <v>-13356.53857</v>
      </c>
      <c r="BD34" s="54">
        <f t="array" ref="BD34">-(IF(BD$2=1,Assumptions!$P35/12,-(SUMIF($D$2:$EE$2,BD$2-1,$D34:$EE34)/12)*(1+XLOOKUP(BD$2,Assumptions!$C$94:$M$94,Assumptions!$C$98:$M$98))))</f>
        <v>-13356.53857</v>
      </c>
      <c r="BE34" s="54">
        <f t="array" ref="BE34">-(IF(BE$2=1,Assumptions!$P35/12,-(SUMIF($D$2:$EE$2,BE$2-1,$D34:$EE34)/12)*(1+XLOOKUP(BE$2,Assumptions!$C$94:$M$94,Assumptions!$C$98:$M$98))))</f>
        <v>-13356.53857</v>
      </c>
      <c r="BF34" s="54">
        <f t="array" ref="BF34">-(IF(BF$2=1,Assumptions!$P35/12,-(SUMIF($D$2:$EE$2,BF$2-1,$D34:$EE34)/12)*(1+XLOOKUP(BF$2,Assumptions!$C$94:$M$94,Assumptions!$C$98:$M$98))))</f>
        <v>-13356.53857</v>
      </c>
      <c r="BG34" s="54">
        <f t="array" ref="BG34">-(IF(BG$2=1,Assumptions!$P35/12,-(SUMIF($D$2:$EE$2,BG$2-1,$D34:$EE34)/12)*(1+XLOOKUP(BG$2,Assumptions!$C$94:$M$94,Assumptions!$C$98:$M$98))))</f>
        <v>-13356.53857</v>
      </c>
      <c r="BH34" s="54">
        <f t="array" ref="BH34">-(IF(BH$2=1,Assumptions!$P35/12,-(SUMIF($D$2:$EE$2,BH$2-1,$D34:$EE34)/12)*(1+XLOOKUP(BH$2,Assumptions!$C$94:$M$94,Assumptions!$C$98:$M$98))))</f>
        <v>-13356.53857</v>
      </c>
      <c r="BI34" s="54">
        <f t="array" ref="BI34">-(IF(BI$2=1,Assumptions!$P35/12,-(SUMIF($D$2:$EE$2,BI$2-1,$D34:$EE34)/12)*(1+XLOOKUP(BI$2,Assumptions!$C$94:$M$94,Assumptions!$C$98:$M$98))))</f>
        <v>-13356.53857</v>
      </c>
      <c r="BJ34" s="54">
        <f t="array" ref="BJ34">-(IF(BJ$2=1,Assumptions!$P35/12,-(SUMIF($D$2:$EE$2,BJ$2-1,$D34:$EE34)/12)*(1+XLOOKUP(BJ$2,Assumptions!$C$94:$M$94,Assumptions!$C$98:$M$98))))</f>
        <v>-13356.53857</v>
      </c>
      <c r="BK34" s="54">
        <f t="array" ref="BK34">-(IF(BK$2=1,Assumptions!$P35/12,-(SUMIF($D$2:$EE$2,BK$2-1,$D34:$EE34)/12)*(1+XLOOKUP(BK$2,Assumptions!$C$94:$M$94,Assumptions!$C$98:$M$98))))</f>
        <v>-13356.53857</v>
      </c>
      <c r="BL34" s="54">
        <f t="array" ref="BL34">-(IF(BL$2=1,Assumptions!$P35/12,-(SUMIF($D$2:$EE$2,BL$2-1,$D34:$EE34)/12)*(1+XLOOKUP(BL$2,Assumptions!$C$94:$M$94,Assumptions!$C$98:$M$98))))</f>
        <v>-13757.23473</v>
      </c>
      <c r="BM34" s="54">
        <f t="array" ref="BM34">-(IF(BM$2=1,Assumptions!$P35/12,-(SUMIF($D$2:$EE$2,BM$2-1,$D34:$EE34)/12)*(1+XLOOKUP(BM$2,Assumptions!$C$94:$M$94,Assumptions!$C$98:$M$98))))</f>
        <v>-13757.23473</v>
      </c>
      <c r="BN34" s="54">
        <f t="array" ref="BN34">-(IF(BN$2=1,Assumptions!$P35/12,-(SUMIF($D$2:$EE$2,BN$2-1,$D34:$EE34)/12)*(1+XLOOKUP(BN$2,Assumptions!$C$94:$M$94,Assumptions!$C$98:$M$98))))</f>
        <v>-13757.23473</v>
      </c>
      <c r="BO34" s="54">
        <f t="array" ref="BO34">-(IF(BO$2=1,Assumptions!$P35/12,-(SUMIF($D$2:$EE$2,BO$2-1,$D34:$EE34)/12)*(1+XLOOKUP(BO$2,Assumptions!$C$94:$M$94,Assumptions!$C$98:$M$98))))</f>
        <v>-13757.23473</v>
      </c>
      <c r="BP34" s="54">
        <f t="array" ref="BP34">-(IF(BP$2=1,Assumptions!$P35/12,-(SUMIF($D$2:$EE$2,BP$2-1,$D34:$EE34)/12)*(1+XLOOKUP(BP$2,Assumptions!$C$94:$M$94,Assumptions!$C$98:$M$98))))</f>
        <v>-13757.23473</v>
      </c>
      <c r="BQ34" s="54">
        <f t="array" ref="BQ34">-(IF(BQ$2=1,Assumptions!$P35/12,-(SUMIF($D$2:$EE$2,BQ$2-1,$D34:$EE34)/12)*(1+XLOOKUP(BQ$2,Assumptions!$C$94:$M$94,Assumptions!$C$98:$M$98))))</f>
        <v>-13757.23473</v>
      </c>
      <c r="BR34" s="54">
        <f t="array" ref="BR34">-(IF(BR$2=1,Assumptions!$P35/12,-(SUMIF($D$2:$EE$2,BR$2-1,$D34:$EE34)/12)*(1+XLOOKUP(BR$2,Assumptions!$C$94:$M$94,Assumptions!$C$98:$M$98))))</f>
        <v>-13757.23473</v>
      </c>
      <c r="BS34" s="54">
        <f t="array" ref="BS34">-(IF(BS$2=1,Assumptions!$P35/12,-(SUMIF($D$2:$EE$2,BS$2-1,$D34:$EE34)/12)*(1+XLOOKUP(BS$2,Assumptions!$C$94:$M$94,Assumptions!$C$98:$M$98))))</f>
        <v>-13757.23473</v>
      </c>
      <c r="BT34" s="54">
        <f t="array" ref="BT34">-(IF(BT$2=1,Assumptions!$P35/12,-(SUMIF($D$2:$EE$2,BT$2-1,$D34:$EE34)/12)*(1+XLOOKUP(BT$2,Assumptions!$C$94:$M$94,Assumptions!$C$98:$M$98))))</f>
        <v>-13757.23473</v>
      </c>
      <c r="BU34" s="54">
        <f t="array" ref="BU34">-(IF(BU$2=1,Assumptions!$P35/12,-(SUMIF($D$2:$EE$2,BU$2-1,$D34:$EE34)/12)*(1+XLOOKUP(BU$2,Assumptions!$C$94:$M$94,Assumptions!$C$98:$M$98))))</f>
        <v>-13757.23473</v>
      </c>
      <c r="BV34" s="54">
        <f t="array" ref="BV34">-(IF(BV$2=1,Assumptions!$P35/12,-(SUMIF($D$2:$EE$2,BV$2-1,$D34:$EE34)/12)*(1+XLOOKUP(BV$2,Assumptions!$C$94:$M$94,Assumptions!$C$98:$M$98))))</f>
        <v>-13757.23473</v>
      </c>
      <c r="BW34" s="54">
        <f t="array" ref="BW34">-(IF(BW$2=1,Assumptions!$P35/12,-(SUMIF($D$2:$EE$2,BW$2-1,$D34:$EE34)/12)*(1+XLOOKUP(BW$2,Assumptions!$C$94:$M$94,Assumptions!$C$98:$M$98))))</f>
        <v>-13757.23473</v>
      </c>
      <c r="BX34" s="54">
        <f t="array" ref="BX34">-(IF(BX$2=1,Assumptions!$P35/12,-(SUMIF($D$2:$EE$2,BX$2-1,$D34:$EE34)/12)*(1+XLOOKUP(BX$2,Assumptions!$C$94:$M$94,Assumptions!$C$98:$M$98))))</f>
        <v>-14169.95177</v>
      </c>
      <c r="BY34" s="54">
        <f t="array" ref="BY34">-(IF(BY$2=1,Assumptions!$P35/12,-(SUMIF($D$2:$EE$2,BY$2-1,$D34:$EE34)/12)*(1+XLOOKUP(BY$2,Assumptions!$C$94:$M$94,Assumptions!$C$98:$M$98))))</f>
        <v>-14169.95177</v>
      </c>
      <c r="BZ34" s="54">
        <f t="array" ref="BZ34">-(IF(BZ$2=1,Assumptions!$P35/12,-(SUMIF($D$2:$EE$2,BZ$2-1,$D34:$EE34)/12)*(1+XLOOKUP(BZ$2,Assumptions!$C$94:$M$94,Assumptions!$C$98:$M$98))))</f>
        <v>-14169.95177</v>
      </c>
      <c r="CA34" s="54">
        <f t="array" ref="CA34">-(IF(CA$2=1,Assumptions!$P35/12,-(SUMIF($D$2:$EE$2,CA$2-1,$D34:$EE34)/12)*(1+XLOOKUP(CA$2,Assumptions!$C$94:$M$94,Assumptions!$C$98:$M$98))))</f>
        <v>-14169.95177</v>
      </c>
      <c r="CB34" s="54">
        <f t="array" ref="CB34">-(IF(CB$2=1,Assumptions!$P35/12,-(SUMIF($D$2:$EE$2,CB$2-1,$D34:$EE34)/12)*(1+XLOOKUP(CB$2,Assumptions!$C$94:$M$94,Assumptions!$C$98:$M$98))))</f>
        <v>-14169.95177</v>
      </c>
      <c r="CC34" s="54">
        <f t="array" ref="CC34">-(IF(CC$2=1,Assumptions!$P35/12,-(SUMIF($D$2:$EE$2,CC$2-1,$D34:$EE34)/12)*(1+XLOOKUP(CC$2,Assumptions!$C$94:$M$94,Assumptions!$C$98:$M$98))))</f>
        <v>-14169.95177</v>
      </c>
      <c r="CD34" s="54">
        <f t="array" ref="CD34">-(IF(CD$2=1,Assumptions!$P35/12,-(SUMIF($D$2:$EE$2,CD$2-1,$D34:$EE34)/12)*(1+XLOOKUP(CD$2,Assumptions!$C$94:$M$94,Assumptions!$C$98:$M$98))))</f>
        <v>-14169.95177</v>
      </c>
      <c r="CE34" s="54">
        <f t="array" ref="CE34">-(IF(CE$2=1,Assumptions!$P35/12,-(SUMIF($D$2:$EE$2,CE$2-1,$D34:$EE34)/12)*(1+XLOOKUP(CE$2,Assumptions!$C$94:$M$94,Assumptions!$C$98:$M$98))))</f>
        <v>-14169.95177</v>
      </c>
      <c r="CF34" s="54">
        <f t="array" ref="CF34">-(IF(CF$2=1,Assumptions!$P35/12,-(SUMIF($D$2:$EE$2,CF$2-1,$D34:$EE34)/12)*(1+XLOOKUP(CF$2,Assumptions!$C$94:$M$94,Assumptions!$C$98:$M$98))))</f>
        <v>-14169.95177</v>
      </c>
      <c r="CG34" s="54">
        <f t="array" ref="CG34">-(IF(CG$2=1,Assumptions!$P35/12,-(SUMIF($D$2:$EE$2,CG$2-1,$D34:$EE34)/12)*(1+XLOOKUP(CG$2,Assumptions!$C$94:$M$94,Assumptions!$C$98:$M$98))))</f>
        <v>-14169.95177</v>
      </c>
      <c r="CH34" s="54">
        <f t="array" ref="CH34">-(IF(CH$2=1,Assumptions!$P35/12,-(SUMIF($D$2:$EE$2,CH$2-1,$D34:$EE34)/12)*(1+XLOOKUP(CH$2,Assumptions!$C$94:$M$94,Assumptions!$C$98:$M$98))))</f>
        <v>-14169.95177</v>
      </c>
      <c r="CI34" s="54">
        <f t="array" ref="CI34">-(IF(CI$2=1,Assumptions!$P35/12,-(SUMIF($D$2:$EE$2,CI$2-1,$D34:$EE34)/12)*(1+XLOOKUP(CI$2,Assumptions!$C$94:$M$94,Assumptions!$C$98:$M$98))))</f>
        <v>-14169.95177</v>
      </c>
      <c r="CJ34" s="54">
        <f t="array" ref="CJ34">-(IF(CJ$2=1,Assumptions!$P35/12,-(SUMIF($D$2:$EE$2,CJ$2-1,$D34:$EE34)/12)*(1+XLOOKUP(CJ$2,Assumptions!$C$94:$M$94,Assumptions!$C$98:$M$98))))</f>
        <v>-14595.05032</v>
      </c>
      <c r="CK34" s="54">
        <f t="array" ref="CK34">-(IF(CK$2=1,Assumptions!$P35/12,-(SUMIF($D$2:$EE$2,CK$2-1,$D34:$EE34)/12)*(1+XLOOKUP(CK$2,Assumptions!$C$94:$M$94,Assumptions!$C$98:$M$98))))</f>
        <v>-14595.05032</v>
      </c>
      <c r="CL34" s="54">
        <f t="array" ref="CL34">-(IF(CL$2=1,Assumptions!$P35/12,-(SUMIF($D$2:$EE$2,CL$2-1,$D34:$EE34)/12)*(1+XLOOKUP(CL$2,Assumptions!$C$94:$M$94,Assumptions!$C$98:$M$98))))</f>
        <v>-14595.05032</v>
      </c>
      <c r="CM34" s="54">
        <f t="array" ref="CM34">-(IF(CM$2=1,Assumptions!$P35/12,-(SUMIF($D$2:$EE$2,CM$2-1,$D34:$EE34)/12)*(1+XLOOKUP(CM$2,Assumptions!$C$94:$M$94,Assumptions!$C$98:$M$98))))</f>
        <v>-14595.05032</v>
      </c>
      <c r="CN34" s="54">
        <f t="array" ref="CN34">-(IF(CN$2=1,Assumptions!$P35/12,-(SUMIF($D$2:$EE$2,CN$2-1,$D34:$EE34)/12)*(1+XLOOKUP(CN$2,Assumptions!$C$94:$M$94,Assumptions!$C$98:$M$98))))</f>
        <v>-14595.05032</v>
      </c>
      <c r="CO34" s="54">
        <f t="array" ref="CO34">-(IF(CO$2=1,Assumptions!$P35/12,-(SUMIF($D$2:$EE$2,CO$2-1,$D34:$EE34)/12)*(1+XLOOKUP(CO$2,Assumptions!$C$94:$M$94,Assumptions!$C$98:$M$98))))</f>
        <v>-14595.05032</v>
      </c>
      <c r="CP34" s="54">
        <f t="array" ref="CP34">-(IF(CP$2=1,Assumptions!$P35/12,-(SUMIF($D$2:$EE$2,CP$2-1,$D34:$EE34)/12)*(1+XLOOKUP(CP$2,Assumptions!$C$94:$M$94,Assumptions!$C$98:$M$98))))</f>
        <v>-14595.05032</v>
      </c>
      <c r="CQ34" s="54">
        <f t="array" ref="CQ34">-(IF(CQ$2=1,Assumptions!$P35/12,-(SUMIF($D$2:$EE$2,CQ$2-1,$D34:$EE34)/12)*(1+XLOOKUP(CQ$2,Assumptions!$C$94:$M$94,Assumptions!$C$98:$M$98))))</f>
        <v>-14595.05032</v>
      </c>
      <c r="CR34" s="54">
        <f t="array" ref="CR34">-(IF(CR$2=1,Assumptions!$P35/12,-(SUMIF($D$2:$EE$2,CR$2-1,$D34:$EE34)/12)*(1+XLOOKUP(CR$2,Assumptions!$C$94:$M$94,Assumptions!$C$98:$M$98))))</f>
        <v>-14595.05032</v>
      </c>
      <c r="CS34" s="54">
        <f t="array" ref="CS34">-(IF(CS$2=1,Assumptions!$P35/12,-(SUMIF($D$2:$EE$2,CS$2-1,$D34:$EE34)/12)*(1+XLOOKUP(CS$2,Assumptions!$C$94:$M$94,Assumptions!$C$98:$M$98))))</f>
        <v>-14595.05032</v>
      </c>
      <c r="CT34" s="54">
        <f t="array" ref="CT34">-(IF(CT$2=1,Assumptions!$P35/12,-(SUMIF($D$2:$EE$2,CT$2-1,$D34:$EE34)/12)*(1+XLOOKUP(CT$2,Assumptions!$C$94:$M$94,Assumptions!$C$98:$M$98))))</f>
        <v>-14595.05032</v>
      </c>
      <c r="CU34" s="54">
        <f t="array" ref="CU34">-(IF(CU$2=1,Assumptions!$P35/12,-(SUMIF($D$2:$EE$2,CU$2-1,$D34:$EE34)/12)*(1+XLOOKUP(CU$2,Assumptions!$C$94:$M$94,Assumptions!$C$98:$M$98))))</f>
        <v>-14595.05032</v>
      </c>
      <c r="CV34" s="54">
        <f t="array" ref="CV34">-(IF(CV$2=1,Assumptions!$P35/12,-(SUMIF($D$2:$EE$2,CV$2-1,$D34:$EE34)/12)*(1+XLOOKUP(CV$2,Assumptions!$C$94:$M$94,Assumptions!$C$98:$M$98))))</f>
        <v>-15032.90183</v>
      </c>
      <c r="CW34" s="54">
        <f t="array" ref="CW34">-(IF(CW$2=1,Assumptions!$P35/12,-(SUMIF($D$2:$EE$2,CW$2-1,$D34:$EE34)/12)*(1+XLOOKUP(CW$2,Assumptions!$C$94:$M$94,Assumptions!$C$98:$M$98))))</f>
        <v>-15032.90183</v>
      </c>
      <c r="CX34" s="54">
        <f t="array" ref="CX34">-(IF(CX$2=1,Assumptions!$P35/12,-(SUMIF($D$2:$EE$2,CX$2-1,$D34:$EE34)/12)*(1+XLOOKUP(CX$2,Assumptions!$C$94:$M$94,Assumptions!$C$98:$M$98))))</f>
        <v>-15032.90183</v>
      </c>
      <c r="CY34" s="54">
        <f t="array" ref="CY34">-(IF(CY$2=1,Assumptions!$P35/12,-(SUMIF($D$2:$EE$2,CY$2-1,$D34:$EE34)/12)*(1+XLOOKUP(CY$2,Assumptions!$C$94:$M$94,Assumptions!$C$98:$M$98))))</f>
        <v>-15032.90183</v>
      </c>
      <c r="CZ34" s="54">
        <f t="array" ref="CZ34">-(IF(CZ$2=1,Assumptions!$P35/12,-(SUMIF($D$2:$EE$2,CZ$2-1,$D34:$EE34)/12)*(1+XLOOKUP(CZ$2,Assumptions!$C$94:$M$94,Assumptions!$C$98:$M$98))))</f>
        <v>-15032.90183</v>
      </c>
      <c r="DA34" s="54">
        <f t="array" ref="DA34">-(IF(DA$2=1,Assumptions!$P35/12,-(SUMIF($D$2:$EE$2,DA$2-1,$D34:$EE34)/12)*(1+XLOOKUP(DA$2,Assumptions!$C$94:$M$94,Assumptions!$C$98:$M$98))))</f>
        <v>-15032.90183</v>
      </c>
      <c r="DB34" s="54">
        <f t="array" ref="DB34">-(IF(DB$2=1,Assumptions!$P35/12,-(SUMIF($D$2:$EE$2,DB$2-1,$D34:$EE34)/12)*(1+XLOOKUP(DB$2,Assumptions!$C$94:$M$94,Assumptions!$C$98:$M$98))))</f>
        <v>-15032.90183</v>
      </c>
      <c r="DC34" s="54">
        <f t="array" ref="DC34">-(IF(DC$2=1,Assumptions!$P35/12,-(SUMIF($D$2:$EE$2,DC$2-1,$D34:$EE34)/12)*(1+XLOOKUP(DC$2,Assumptions!$C$94:$M$94,Assumptions!$C$98:$M$98))))</f>
        <v>-15032.90183</v>
      </c>
      <c r="DD34" s="54">
        <f t="array" ref="DD34">-(IF(DD$2=1,Assumptions!$P35/12,-(SUMIF($D$2:$EE$2,DD$2-1,$D34:$EE34)/12)*(1+XLOOKUP(DD$2,Assumptions!$C$94:$M$94,Assumptions!$C$98:$M$98))))</f>
        <v>-15032.90183</v>
      </c>
      <c r="DE34" s="54">
        <f t="array" ref="DE34">-(IF(DE$2=1,Assumptions!$P35/12,-(SUMIF($D$2:$EE$2,DE$2-1,$D34:$EE34)/12)*(1+XLOOKUP(DE$2,Assumptions!$C$94:$M$94,Assumptions!$C$98:$M$98))))</f>
        <v>-15032.90183</v>
      </c>
      <c r="DF34" s="54">
        <f t="array" ref="DF34">-(IF(DF$2=1,Assumptions!$P35/12,-(SUMIF($D$2:$EE$2,DF$2-1,$D34:$EE34)/12)*(1+XLOOKUP(DF$2,Assumptions!$C$94:$M$94,Assumptions!$C$98:$M$98))))</f>
        <v>-15032.90183</v>
      </c>
      <c r="DG34" s="54">
        <f t="array" ref="DG34">-(IF(DG$2=1,Assumptions!$P35/12,-(SUMIF($D$2:$EE$2,DG$2-1,$D34:$EE34)/12)*(1+XLOOKUP(DG$2,Assumptions!$C$94:$M$94,Assumptions!$C$98:$M$98))))</f>
        <v>-15032.90183</v>
      </c>
      <c r="DH34" s="54">
        <f t="array" ref="DH34">-(IF(DH$2=1,Assumptions!$P35/12,-(SUMIF($D$2:$EE$2,DH$2-1,$D34:$EE34)/12)*(1+XLOOKUP(DH$2,Assumptions!$C$94:$M$94,Assumptions!$C$98:$M$98))))</f>
        <v>-15483.88889</v>
      </c>
      <c r="DI34" s="54">
        <f t="array" ref="DI34">-(IF(DI$2=1,Assumptions!$P35/12,-(SUMIF($D$2:$EE$2,DI$2-1,$D34:$EE34)/12)*(1+XLOOKUP(DI$2,Assumptions!$C$94:$M$94,Assumptions!$C$98:$M$98))))</f>
        <v>-15483.88889</v>
      </c>
      <c r="DJ34" s="54">
        <f t="array" ref="DJ34">-(IF(DJ$2=1,Assumptions!$P35/12,-(SUMIF($D$2:$EE$2,DJ$2-1,$D34:$EE34)/12)*(1+XLOOKUP(DJ$2,Assumptions!$C$94:$M$94,Assumptions!$C$98:$M$98))))</f>
        <v>-15483.88889</v>
      </c>
      <c r="DK34" s="54">
        <f t="array" ref="DK34">-(IF(DK$2=1,Assumptions!$P35/12,-(SUMIF($D$2:$EE$2,DK$2-1,$D34:$EE34)/12)*(1+XLOOKUP(DK$2,Assumptions!$C$94:$M$94,Assumptions!$C$98:$M$98))))</f>
        <v>-15483.88889</v>
      </c>
      <c r="DL34" s="54">
        <f t="array" ref="DL34">-(IF(DL$2=1,Assumptions!$P35/12,-(SUMIF($D$2:$EE$2,DL$2-1,$D34:$EE34)/12)*(1+XLOOKUP(DL$2,Assumptions!$C$94:$M$94,Assumptions!$C$98:$M$98))))</f>
        <v>-15483.88889</v>
      </c>
      <c r="DM34" s="54">
        <f t="array" ref="DM34">-(IF(DM$2=1,Assumptions!$P35/12,-(SUMIF($D$2:$EE$2,DM$2-1,$D34:$EE34)/12)*(1+XLOOKUP(DM$2,Assumptions!$C$94:$M$94,Assumptions!$C$98:$M$98))))</f>
        <v>-15483.88889</v>
      </c>
      <c r="DN34" s="54">
        <f t="array" ref="DN34">-(IF(DN$2=1,Assumptions!$P35/12,-(SUMIF($D$2:$EE$2,DN$2-1,$D34:$EE34)/12)*(1+XLOOKUP(DN$2,Assumptions!$C$94:$M$94,Assumptions!$C$98:$M$98))))</f>
        <v>-15483.88889</v>
      </c>
      <c r="DO34" s="54">
        <f t="array" ref="DO34">-(IF(DO$2=1,Assumptions!$P35/12,-(SUMIF($D$2:$EE$2,DO$2-1,$D34:$EE34)/12)*(1+XLOOKUP(DO$2,Assumptions!$C$94:$M$94,Assumptions!$C$98:$M$98))))</f>
        <v>-15483.88889</v>
      </c>
      <c r="DP34" s="54">
        <f t="array" ref="DP34">-(IF(DP$2=1,Assumptions!$P35/12,-(SUMIF($D$2:$EE$2,DP$2-1,$D34:$EE34)/12)*(1+XLOOKUP(DP$2,Assumptions!$C$94:$M$94,Assumptions!$C$98:$M$98))))</f>
        <v>-15483.88889</v>
      </c>
      <c r="DQ34" s="54">
        <f t="array" ref="DQ34">-(IF(DQ$2=1,Assumptions!$P35/12,-(SUMIF($D$2:$EE$2,DQ$2-1,$D34:$EE34)/12)*(1+XLOOKUP(DQ$2,Assumptions!$C$94:$M$94,Assumptions!$C$98:$M$98))))</f>
        <v>-15483.88889</v>
      </c>
      <c r="DR34" s="54">
        <f t="array" ref="DR34">-(IF(DR$2=1,Assumptions!$P35/12,-(SUMIF($D$2:$EE$2,DR$2-1,$D34:$EE34)/12)*(1+XLOOKUP(DR$2,Assumptions!$C$94:$M$94,Assumptions!$C$98:$M$98))))</f>
        <v>-15483.88889</v>
      </c>
      <c r="DS34" s="54">
        <f t="array" ref="DS34">-(IF(DS$2=1,Assumptions!$P35/12,-(SUMIF($D$2:$EE$2,DS$2-1,$D34:$EE34)/12)*(1+XLOOKUP(DS$2,Assumptions!$C$94:$M$94,Assumptions!$C$98:$M$98))))</f>
        <v>-15483.88889</v>
      </c>
      <c r="DT34" s="54">
        <f t="array" ref="DT34">-(IF(DT$2=1,Assumptions!$P35/12,-(SUMIF($D$2:$EE$2,DT$2-1,$D34:$EE34)/12)*(1+XLOOKUP(DT$2,Assumptions!$C$94:$M$94,Assumptions!$C$98:$M$98))))</f>
        <v>-15948.40555</v>
      </c>
      <c r="DU34" s="54">
        <f t="array" ref="DU34">-(IF(DU$2=1,Assumptions!$P35/12,-(SUMIF($D$2:$EE$2,DU$2-1,$D34:$EE34)/12)*(1+XLOOKUP(DU$2,Assumptions!$C$94:$M$94,Assumptions!$C$98:$M$98))))</f>
        <v>-15948.40555</v>
      </c>
      <c r="DV34" s="54">
        <f t="array" ref="DV34">-(IF(DV$2=1,Assumptions!$P35/12,-(SUMIF($D$2:$EE$2,DV$2-1,$D34:$EE34)/12)*(1+XLOOKUP(DV$2,Assumptions!$C$94:$M$94,Assumptions!$C$98:$M$98))))</f>
        <v>-15948.40555</v>
      </c>
      <c r="DW34" s="54">
        <f t="array" ref="DW34">-(IF(DW$2=1,Assumptions!$P35/12,-(SUMIF($D$2:$EE$2,DW$2-1,$D34:$EE34)/12)*(1+XLOOKUP(DW$2,Assumptions!$C$94:$M$94,Assumptions!$C$98:$M$98))))</f>
        <v>-15948.40555</v>
      </c>
      <c r="DX34" s="54">
        <f t="array" ref="DX34">-(IF(DX$2=1,Assumptions!$P35/12,-(SUMIF($D$2:$EE$2,DX$2-1,$D34:$EE34)/12)*(1+XLOOKUP(DX$2,Assumptions!$C$94:$M$94,Assumptions!$C$98:$M$98))))</f>
        <v>-15948.40555</v>
      </c>
      <c r="DY34" s="54">
        <f t="array" ref="DY34">-(IF(DY$2=1,Assumptions!$P35/12,-(SUMIF($D$2:$EE$2,DY$2-1,$D34:$EE34)/12)*(1+XLOOKUP(DY$2,Assumptions!$C$94:$M$94,Assumptions!$C$98:$M$98))))</f>
        <v>-15948.40555</v>
      </c>
      <c r="DZ34" s="54">
        <f t="array" ref="DZ34">-(IF(DZ$2=1,Assumptions!$P35/12,-(SUMIF($D$2:$EE$2,DZ$2-1,$D34:$EE34)/12)*(1+XLOOKUP(DZ$2,Assumptions!$C$94:$M$94,Assumptions!$C$98:$M$98))))</f>
        <v>-15948.40555</v>
      </c>
      <c r="EA34" s="54">
        <f t="array" ref="EA34">-(IF(EA$2=1,Assumptions!$P35/12,-(SUMIF($D$2:$EE$2,EA$2-1,$D34:$EE34)/12)*(1+XLOOKUP(EA$2,Assumptions!$C$94:$M$94,Assumptions!$C$98:$M$98))))</f>
        <v>-15948.40555</v>
      </c>
      <c r="EB34" s="54">
        <f t="array" ref="EB34">-(IF(EB$2=1,Assumptions!$P35/12,-(SUMIF($D$2:$EE$2,EB$2-1,$D34:$EE34)/12)*(1+XLOOKUP(EB$2,Assumptions!$C$94:$M$94,Assumptions!$C$98:$M$98))))</f>
        <v>-15948.40555</v>
      </c>
      <c r="EC34" s="54">
        <f t="array" ref="EC34">-(IF(EC$2=1,Assumptions!$P35/12,-(SUMIF($D$2:$EE$2,EC$2-1,$D34:$EE34)/12)*(1+XLOOKUP(EC$2,Assumptions!$C$94:$M$94,Assumptions!$C$98:$M$98))))</f>
        <v>-15948.40555</v>
      </c>
      <c r="ED34" s="54">
        <f t="array" ref="ED34">-(IF(ED$2=1,Assumptions!$P35/12,-(SUMIF($D$2:$EE$2,ED$2-1,$D34:$EE34)/12)*(1+XLOOKUP(ED$2,Assumptions!$C$94:$M$94,Assumptions!$C$98:$M$98))))</f>
        <v>-15948.40555</v>
      </c>
      <c r="EE34" s="54">
        <f t="array" ref="EE34">-(IF(EE$2=1,Assumptions!$P35/12,-(SUMIF($D$2:$EE$2,EE$2-1,$D34:$EE34)/12)*(1+XLOOKUP(EE$2,Assumptions!$C$94:$M$94,Assumptions!$C$98:$M$98))))</f>
        <v>-15948.40555</v>
      </c>
    </row>
    <row r="35" ht="15.75" customHeight="1">
      <c r="A35" s="1"/>
      <c r="B35" s="1"/>
      <c r="C35" s="1" t="str">
        <f>Assumptions!J36</f>
        <v>HQ Expense</v>
      </c>
      <c r="D35" s="54">
        <f t="array" ref="D35">-(IF(D$2=1,Assumptions!$P36/12,-(SUMIF($D$2:$EE$2,D$2-1,$D35:$EE35)/12)*(1+XLOOKUP(D$2,Assumptions!$C$94:$M$94,Assumptions!$C$98:$M$98))))</f>
        <v>-1705.335808</v>
      </c>
      <c r="E35" s="54">
        <f t="array" ref="E35">-(IF(E$2=1,Assumptions!$P36/12,-(SUMIF($D$2:$EE$2,E$2-1,$D35:$EE35)/12)*(1+XLOOKUP(E$2,Assumptions!$C$94:$M$94,Assumptions!$C$98:$M$98))))</f>
        <v>-1705.335808</v>
      </c>
      <c r="F35" s="54">
        <f t="array" ref="F35">-(IF(F$2=1,Assumptions!$P36/12,-(SUMIF($D$2:$EE$2,F$2-1,$D35:$EE35)/12)*(1+XLOOKUP(F$2,Assumptions!$C$94:$M$94,Assumptions!$C$98:$M$98))))</f>
        <v>-1705.335808</v>
      </c>
      <c r="G35" s="54">
        <f t="array" ref="G35">-(IF(G$2=1,Assumptions!$P36/12,-(SUMIF($D$2:$EE$2,G$2-1,$D35:$EE35)/12)*(1+XLOOKUP(G$2,Assumptions!$C$94:$M$94,Assumptions!$C$98:$M$98))))</f>
        <v>-1705.335808</v>
      </c>
      <c r="H35" s="54">
        <f t="array" ref="H35">-(IF(H$2=1,Assumptions!$P36/12,-(SUMIF($D$2:$EE$2,H$2-1,$D35:$EE35)/12)*(1+XLOOKUP(H$2,Assumptions!$C$94:$M$94,Assumptions!$C$98:$M$98))))</f>
        <v>-1705.335808</v>
      </c>
      <c r="I35" s="54">
        <f t="array" ref="I35">-(IF(I$2=1,Assumptions!$P36/12,-(SUMIF($D$2:$EE$2,I$2-1,$D35:$EE35)/12)*(1+XLOOKUP(I$2,Assumptions!$C$94:$M$94,Assumptions!$C$98:$M$98))))</f>
        <v>-1705.335808</v>
      </c>
      <c r="J35" s="54">
        <f t="array" ref="J35">-(IF(J$2=1,Assumptions!$P36/12,-(SUMIF($D$2:$EE$2,J$2-1,$D35:$EE35)/12)*(1+XLOOKUP(J$2,Assumptions!$C$94:$M$94,Assumptions!$C$98:$M$98))))</f>
        <v>-1705.335808</v>
      </c>
      <c r="K35" s="54">
        <f t="array" ref="K35">-(IF(K$2=1,Assumptions!$P36/12,-(SUMIF($D$2:$EE$2,K$2-1,$D35:$EE35)/12)*(1+XLOOKUP(K$2,Assumptions!$C$94:$M$94,Assumptions!$C$98:$M$98))))</f>
        <v>-1705.335808</v>
      </c>
      <c r="L35" s="54">
        <f t="array" ref="L35">-(IF(L$2=1,Assumptions!$P36/12,-(SUMIF($D$2:$EE$2,L$2-1,$D35:$EE35)/12)*(1+XLOOKUP(L$2,Assumptions!$C$94:$M$94,Assumptions!$C$98:$M$98))))</f>
        <v>-1705.335808</v>
      </c>
      <c r="M35" s="54">
        <f t="array" ref="M35">-(IF(M$2=1,Assumptions!$P36/12,-(SUMIF($D$2:$EE$2,M$2-1,$D35:$EE35)/12)*(1+XLOOKUP(M$2,Assumptions!$C$94:$M$94,Assumptions!$C$98:$M$98))))</f>
        <v>-1705.335808</v>
      </c>
      <c r="N35" s="54">
        <f t="array" ref="N35">-(IF(N$2=1,Assumptions!$P36/12,-(SUMIF($D$2:$EE$2,N$2-1,$D35:$EE35)/12)*(1+XLOOKUP(N$2,Assumptions!$C$94:$M$94,Assumptions!$C$98:$M$98))))</f>
        <v>-1705.335808</v>
      </c>
      <c r="O35" s="54">
        <f t="array" ref="O35">-(IF(O$2=1,Assumptions!$P36/12,-(SUMIF($D$2:$EE$2,O$2-1,$D35:$EE35)/12)*(1+XLOOKUP(O$2,Assumptions!$C$94:$M$94,Assumptions!$C$98:$M$98))))</f>
        <v>-1705.335808</v>
      </c>
      <c r="P35" s="54">
        <f t="array" ref="P35">-(IF(P$2=1,Assumptions!$P36/12,-(SUMIF($D$2:$EE$2,P$2-1,$D35:$EE35)/12)*(1+XLOOKUP(P$2,Assumptions!$C$94:$M$94,Assumptions!$C$98:$M$98))))</f>
        <v>-1756.495883</v>
      </c>
      <c r="Q35" s="54">
        <f t="array" ref="Q35">-(IF(Q$2=1,Assumptions!$P36/12,-(SUMIF($D$2:$EE$2,Q$2-1,$D35:$EE35)/12)*(1+XLOOKUP(Q$2,Assumptions!$C$94:$M$94,Assumptions!$C$98:$M$98))))</f>
        <v>-1756.495883</v>
      </c>
      <c r="R35" s="54">
        <f t="array" ref="R35">-(IF(R$2=1,Assumptions!$P36/12,-(SUMIF($D$2:$EE$2,R$2-1,$D35:$EE35)/12)*(1+XLOOKUP(R$2,Assumptions!$C$94:$M$94,Assumptions!$C$98:$M$98))))</f>
        <v>-1756.495883</v>
      </c>
      <c r="S35" s="54">
        <f t="array" ref="S35">-(IF(S$2=1,Assumptions!$P36/12,-(SUMIF($D$2:$EE$2,S$2-1,$D35:$EE35)/12)*(1+XLOOKUP(S$2,Assumptions!$C$94:$M$94,Assumptions!$C$98:$M$98))))</f>
        <v>-1756.495883</v>
      </c>
      <c r="T35" s="54">
        <f t="array" ref="T35">-(IF(T$2=1,Assumptions!$P36/12,-(SUMIF($D$2:$EE$2,T$2-1,$D35:$EE35)/12)*(1+XLOOKUP(T$2,Assumptions!$C$94:$M$94,Assumptions!$C$98:$M$98))))</f>
        <v>-1756.495883</v>
      </c>
      <c r="U35" s="54">
        <f t="array" ref="U35">-(IF(U$2=1,Assumptions!$P36/12,-(SUMIF($D$2:$EE$2,U$2-1,$D35:$EE35)/12)*(1+XLOOKUP(U$2,Assumptions!$C$94:$M$94,Assumptions!$C$98:$M$98))))</f>
        <v>-1756.495883</v>
      </c>
      <c r="V35" s="54">
        <f t="array" ref="V35">-(IF(V$2=1,Assumptions!$P36/12,-(SUMIF($D$2:$EE$2,V$2-1,$D35:$EE35)/12)*(1+XLOOKUP(V$2,Assumptions!$C$94:$M$94,Assumptions!$C$98:$M$98))))</f>
        <v>-1756.495883</v>
      </c>
      <c r="W35" s="54">
        <f t="array" ref="W35">-(IF(W$2=1,Assumptions!$P36/12,-(SUMIF($D$2:$EE$2,W$2-1,$D35:$EE35)/12)*(1+XLOOKUP(W$2,Assumptions!$C$94:$M$94,Assumptions!$C$98:$M$98))))</f>
        <v>-1756.495883</v>
      </c>
      <c r="X35" s="54">
        <f t="array" ref="X35">-(IF(X$2=1,Assumptions!$P36/12,-(SUMIF($D$2:$EE$2,X$2-1,$D35:$EE35)/12)*(1+XLOOKUP(X$2,Assumptions!$C$94:$M$94,Assumptions!$C$98:$M$98))))</f>
        <v>-1756.495883</v>
      </c>
      <c r="Y35" s="54">
        <f t="array" ref="Y35">-(IF(Y$2=1,Assumptions!$P36/12,-(SUMIF($D$2:$EE$2,Y$2-1,$D35:$EE35)/12)*(1+XLOOKUP(Y$2,Assumptions!$C$94:$M$94,Assumptions!$C$98:$M$98))))</f>
        <v>-1756.495883</v>
      </c>
      <c r="Z35" s="54">
        <f t="array" ref="Z35">-(IF(Z$2=1,Assumptions!$P36/12,-(SUMIF($D$2:$EE$2,Z$2-1,$D35:$EE35)/12)*(1+XLOOKUP(Z$2,Assumptions!$C$94:$M$94,Assumptions!$C$98:$M$98))))</f>
        <v>-1756.495883</v>
      </c>
      <c r="AA35" s="54">
        <f t="array" ref="AA35">-(IF(AA$2=1,Assumptions!$P36/12,-(SUMIF($D$2:$EE$2,AA$2-1,$D35:$EE35)/12)*(1+XLOOKUP(AA$2,Assumptions!$C$94:$M$94,Assumptions!$C$98:$M$98))))</f>
        <v>-1756.495883</v>
      </c>
      <c r="AB35" s="54">
        <f t="array" ref="AB35">-(IF(AB$2=1,Assumptions!$P36/12,-(SUMIF($D$2:$EE$2,AB$2-1,$D35:$EE35)/12)*(1+XLOOKUP(AB$2,Assumptions!$C$94:$M$94,Assumptions!$C$98:$M$98))))</f>
        <v>-1809.190759</v>
      </c>
      <c r="AC35" s="54">
        <f t="array" ref="AC35">-(IF(AC$2=1,Assumptions!$P36/12,-(SUMIF($D$2:$EE$2,AC$2-1,$D35:$EE35)/12)*(1+XLOOKUP(AC$2,Assumptions!$C$94:$M$94,Assumptions!$C$98:$M$98))))</f>
        <v>-1809.190759</v>
      </c>
      <c r="AD35" s="54">
        <f t="array" ref="AD35">-(IF(AD$2=1,Assumptions!$P36/12,-(SUMIF($D$2:$EE$2,AD$2-1,$D35:$EE35)/12)*(1+XLOOKUP(AD$2,Assumptions!$C$94:$M$94,Assumptions!$C$98:$M$98))))</f>
        <v>-1809.190759</v>
      </c>
      <c r="AE35" s="54">
        <f t="array" ref="AE35">-(IF(AE$2=1,Assumptions!$P36/12,-(SUMIF($D$2:$EE$2,AE$2-1,$D35:$EE35)/12)*(1+XLOOKUP(AE$2,Assumptions!$C$94:$M$94,Assumptions!$C$98:$M$98))))</f>
        <v>-1809.190759</v>
      </c>
      <c r="AF35" s="54">
        <f t="array" ref="AF35">-(IF(AF$2=1,Assumptions!$P36/12,-(SUMIF($D$2:$EE$2,AF$2-1,$D35:$EE35)/12)*(1+XLOOKUP(AF$2,Assumptions!$C$94:$M$94,Assumptions!$C$98:$M$98))))</f>
        <v>-1809.190759</v>
      </c>
      <c r="AG35" s="54">
        <f t="array" ref="AG35">-(IF(AG$2=1,Assumptions!$P36/12,-(SUMIF($D$2:$EE$2,AG$2-1,$D35:$EE35)/12)*(1+XLOOKUP(AG$2,Assumptions!$C$94:$M$94,Assumptions!$C$98:$M$98))))</f>
        <v>-1809.190759</v>
      </c>
      <c r="AH35" s="54">
        <f t="array" ref="AH35">-(IF(AH$2=1,Assumptions!$P36/12,-(SUMIF($D$2:$EE$2,AH$2-1,$D35:$EE35)/12)*(1+XLOOKUP(AH$2,Assumptions!$C$94:$M$94,Assumptions!$C$98:$M$98))))</f>
        <v>-1809.190759</v>
      </c>
      <c r="AI35" s="54">
        <f t="array" ref="AI35">-(IF(AI$2=1,Assumptions!$P36/12,-(SUMIF($D$2:$EE$2,AI$2-1,$D35:$EE35)/12)*(1+XLOOKUP(AI$2,Assumptions!$C$94:$M$94,Assumptions!$C$98:$M$98))))</f>
        <v>-1809.190759</v>
      </c>
      <c r="AJ35" s="54">
        <f t="array" ref="AJ35">-(IF(AJ$2=1,Assumptions!$P36/12,-(SUMIF($D$2:$EE$2,AJ$2-1,$D35:$EE35)/12)*(1+XLOOKUP(AJ$2,Assumptions!$C$94:$M$94,Assumptions!$C$98:$M$98))))</f>
        <v>-1809.190759</v>
      </c>
      <c r="AK35" s="54">
        <f t="array" ref="AK35">-(IF(AK$2=1,Assumptions!$P36/12,-(SUMIF($D$2:$EE$2,AK$2-1,$D35:$EE35)/12)*(1+XLOOKUP(AK$2,Assumptions!$C$94:$M$94,Assumptions!$C$98:$M$98))))</f>
        <v>-1809.190759</v>
      </c>
      <c r="AL35" s="54">
        <f t="array" ref="AL35">-(IF(AL$2=1,Assumptions!$P36/12,-(SUMIF($D$2:$EE$2,AL$2-1,$D35:$EE35)/12)*(1+XLOOKUP(AL$2,Assumptions!$C$94:$M$94,Assumptions!$C$98:$M$98))))</f>
        <v>-1809.190759</v>
      </c>
      <c r="AM35" s="54">
        <f t="array" ref="AM35">-(IF(AM$2=1,Assumptions!$P36/12,-(SUMIF($D$2:$EE$2,AM$2-1,$D35:$EE35)/12)*(1+XLOOKUP(AM$2,Assumptions!$C$94:$M$94,Assumptions!$C$98:$M$98))))</f>
        <v>-1809.190759</v>
      </c>
      <c r="AN35" s="54">
        <f t="array" ref="AN35">-(IF(AN$2=1,Assumptions!$P36/12,-(SUMIF($D$2:$EE$2,AN$2-1,$D35:$EE35)/12)*(1+XLOOKUP(AN$2,Assumptions!$C$94:$M$94,Assumptions!$C$98:$M$98))))</f>
        <v>-1863.466482</v>
      </c>
      <c r="AO35" s="54">
        <f t="array" ref="AO35">-(IF(AO$2=1,Assumptions!$P36/12,-(SUMIF($D$2:$EE$2,AO$2-1,$D35:$EE35)/12)*(1+XLOOKUP(AO$2,Assumptions!$C$94:$M$94,Assumptions!$C$98:$M$98))))</f>
        <v>-1863.466482</v>
      </c>
      <c r="AP35" s="54">
        <f t="array" ref="AP35">-(IF(AP$2=1,Assumptions!$P36/12,-(SUMIF($D$2:$EE$2,AP$2-1,$D35:$EE35)/12)*(1+XLOOKUP(AP$2,Assumptions!$C$94:$M$94,Assumptions!$C$98:$M$98))))</f>
        <v>-1863.466482</v>
      </c>
      <c r="AQ35" s="54">
        <f t="array" ref="AQ35">-(IF(AQ$2=1,Assumptions!$P36/12,-(SUMIF($D$2:$EE$2,AQ$2-1,$D35:$EE35)/12)*(1+XLOOKUP(AQ$2,Assumptions!$C$94:$M$94,Assumptions!$C$98:$M$98))))</f>
        <v>-1863.466482</v>
      </c>
      <c r="AR35" s="54">
        <f t="array" ref="AR35">-(IF(AR$2=1,Assumptions!$P36/12,-(SUMIF($D$2:$EE$2,AR$2-1,$D35:$EE35)/12)*(1+XLOOKUP(AR$2,Assumptions!$C$94:$M$94,Assumptions!$C$98:$M$98))))</f>
        <v>-1863.466482</v>
      </c>
      <c r="AS35" s="54">
        <f t="array" ref="AS35">-(IF(AS$2=1,Assumptions!$P36/12,-(SUMIF($D$2:$EE$2,AS$2-1,$D35:$EE35)/12)*(1+XLOOKUP(AS$2,Assumptions!$C$94:$M$94,Assumptions!$C$98:$M$98))))</f>
        <v>-1863.466482</v>
      </c>
      <c r="AT35" s="54">
        <f t="array" ref="AT35">-(IF(AT$2=1,Assumptions!$P36/12,-(SUMIF($D$2:$EE$2,AT$2-1,$D35:$EE35)/12)*(1+XLOOKUP(AT$2,Assumptions!$C$94:$M$94,Assumptions!$C$98:$M$98))))</f>
        <v>-1863.466482</v>
      </c>
      <c r="AU35" s="54">
        <f t="array" ref="AU35">-(IF(AU$2=1,Assumptions!$P36/12,-(SUMIF($D$2:$EE$2,AU$2-1,$D35:$EE35)/12)*(1+XLOOKUP(AU$2,Assumptions!$C$94:$M$94,Assumptions!$C$98:$M$98))))</f>
        <v>-1863.466482</v>
      </c>
      <c r="AV35" s="54">
        <f t="array" ref="AV35">-(IF(AV$2=1,Assumptions!$P36/12,-(SUMIF($D$2:$EE$2,AV$2-1,$D35:$EE35)/12)*(1+XLOOKUP(AV$2,Assumptions!$C$94:$M$94,Assumptions!$C$98:$M$98))))</f>
        <v>-1863.466482</v>
      </c>
      <c r="AW35" s="54">
        <f t="array" ref="AW35">-(IF(AW$2=1,Assumptions!$P36/12,-(SUMIF($D$2:$EE$2,AW$2-1,$D35:$EE35)/12)*(1+XLOOKUP(AW$2,Assumptions!$C$94:$M$94,Assumptions!$C$98:$M$98))))</f>
        <v>-1863.466482</v>
      </c>
      <c r="AX35" s="54">
        <f t="array" ref="AX35">-(IF(AX$2=1,Assumptions!$P36/12,-(SUMIF($D$2:$EE$2,AX$2-1,$D35:$EE35)/12)*(1+XLOOKUP(AX$2,Assumptions!$C$94:$M$94,Assumptions!$C$98:$M$98))))</f>
        <v>-1863.466482</v>
      </c>
      <c r="AY35" s="54">
        <f t="array" ref="AY35">-(IF(AY$2=1,Assumptions!$P36/12,-(SUMIF($D$2:$EE$2,AY$2-1,$D35:$EE35)/12)*(1+XLOOKUP(AY$2,Assumptions!$C$94:$M$94,Assumptions!$C$98:$M$98))))</f>
        <v>-1863.466482</v>
      </c>
      <c r="AZ35" s="54">
        <f t="array" ref="AZ35">-(IF(AZ$2=1,Assumptions!$P36/12,-(SUMIF($D$2:$EE$2,AZ$2-1,$D35:$EE35)/12)*(1+XLOOKUP(AZ$2,Assumptions!$C$94:$M$94,Assumptions!$C$98:$M$98))))</f>
        <v>-1919.370476</v>
      </c>
      <c r="BA35" s="54">
        <f t="array" ref="BA35">-(IF(BA$2=1,Assumptions!$P36/12,-(SUMIF($D$2:$EE$2,BA$2-1,$D35:$EE35)/12)*(1+XLOOKUP(BA$2,Assumptions!$C$94:$M$94,Assumptions!$C$98:$M$98))))</f>
        <v>-1919.370476</v>
      </c>
      <c r="BB35" s="54">
        <f t="array" ref="BB35">-(IF(BB$2=1,Assumptions!$P36/12,-(SUMIF($D$2:$EE$2,BB$2-1,$D35:$EE35)/12)*(1+XLOOKUP(BB$2,Assumptions!$C$94:$M$94,Assumptions!$C$98:$M$98))))</f>
        <v>-1919.370476</v>
      </c>
      <c r="BC35" s="54">
        <f t="array" ref="BC35">-(IF(BC$2=1,Assumptions!$P36/12,-(SUMIF($D$2:$EE$2,BC$2-1,$D35:$EE35)/12)*(1+XLOOKUP(BC$2,Assumptions!$C$94:$M$94,Assumptions!$C$98:$M$98))))</f>
        <v>-1919.370476</v>
      </c>
      <c r="BD35" s="54">
        <f t="array" ref="BD35">-(IF(BD$2=1,Assumptions!$P36/12,-(SUMIF($D$2:$EE$2,BD$2-1,$D35:$EE35)/12)*(1+XLOOKUP(BD$2,Assumptions!$C$94:$M$94,Assumptions!$C$98:$M$98))))</f>
        <v>-1919.370476</v>
      </c>
      <c r="BE35" s="54">
        <f t="array" ref="BE35">-(IF(BE$2=1,Assumptions!$P36/12,-(SUMIF($D$2:$EE$2,BE$2-1,$D35:$EE35)/12)*(1+XLOOKUP(BE$2,Assumptions!$C$94:$M$94,Assumptions!$C$98:$M$98))))</f>
        <v>-1919.370476</v>
      </c>
      <c r="BF35" s="54">
        <f t="array" ref="BF35">-(IF(BF$2=1,Assumptions!$P36/12,-(SUMIF($D$2:$EE$2,BF$2-1,$D35:$EE35)/12)*(1+XLOOKUP(BF$2,Assumptions!$C$94:$M$94,Assumptions!$C$98:$M$98))))</f>
        <v>-1919.370476</v>
      </c>
      <c r="BG35" s="54">
        <f t="array" ref="BG35">-(IF(BG$2=1,Assumptions!$P36/12,-(SUMIF($D$2:$EE$2,BG$2-1,$D35:$EE35)/12)*(1+XLOOKUP(BG$2,Assumptions!$C$94:$M$94,Assumptions!$C$98:$M$98))))</f>
        <v>-1919.370476</v>
      </c>
      <c r="BH35" s="54">
        <f t="array" ref="BH35">-(IF(BH$2=1,Assumptions!$P36/12,-(SUMIF($D$2:$EE$2,BH$2-1,$D35:$EE35)/12)*(1+XLOOKUP(BH$2,Assumptions!$C$94:$M$94,Assumptions!$C$98:$M$98))))</f>
        <v>-1919.370476</v>
      </c>
      <c r="BI35" s="54">
        <f t="array" ref="BI35">-(IF(BI$2=1,Assumptions!$P36/12,-(SUMIF($D$2:$EE$2,BI$2-1,$D35:$EE35)/12)*(1+XLOOKUP(BI$2,Assumptions!$C$94:$M$94,Assumptions!$C$98:$M$98))))</f>
        <v>-1919.370476</v>
      </c>
      <c r="BJ35" s="54">
        <f t="array" ref="BJ35">-(IF(BJ$2=1,Assumptions!$P36/12,-(SUMIF($D$2:$EE$2,BJ$2-1,$D35:$EE35)/12)*(1+XLOOKUP(BJ$2,Assumptions!$C$94:$M$94,Assumptions!$C$98:$M$98))))</f>
        <v>-1919.370476</v>
      </c>
      <c r="BK35" s="54">
        <f t="array" ref="BK35">-(IF(BK$2=1,Assumptions!$P36/12,-(SUMIF($D$2:$EE$2,BK$2-1,$D35:$EE35)/12)*(1+XLOOKUP(BK$2,Assumptions!$C$94:$M$94,Assumptions!$C$98:$M$98))))</f>
        <v>-1919.370476</v>
      </c>
      <c r="BL35" s="54">
        <f t="array" ref="BL35">-(IF(BL$2=1,Assumptions!$P36/12,-(SUMIF($D$2:$EE$2,BL$2-1,$D35:$EE35)/12)*(1+XLOOKUP(BL$2,Assumptions!$C$94:$M$94,Assumptions!$C$98:$M$98))))</f>
        <v>-1976.951591</v>
      </c>
      <c r="BM35" s="54">
        <f t="array" ref="BM35">-(IF(BM$2=1,Assumptions!$P36/12,-(SUMIF($D$2:$EE$2,BM$2-1,$D35:$EE35)/12)*(1+XLOOKUP(BM$2,Assumptions!$C$94:$M$94,Assumptions!$C$98:$M$98))))</f>
        <v>-1976.951591</v>
      </c>
      <c r="BN35" s="54">
        <f t="array" ref="BN35">-(IF(BN$2=1,Assumptions!$P36/12,-(SUMIF($D$2:$EE$2,BN$2-1,$D35:$EE35)/12)*(1+XLOOKUP(BN$2,Assumptions!$C$94:$M$94,Assumptions!$C$98:$M$98))))</f>
        <v>-1976.951591</v>
      </c>
      <c r="BO35" s="54">
        <f t="array" ref="BO35">-(IF(BO$2=1,Assumptions!$P36/12,-(SUMIF($D$2:$EE$2,BO$2-1,$D35:$EE35)/12)*(1+XLOOKUP(BO$2,Assumptions!$C$94:$M$94,Assumptions!$C$98:$M$98))))</f>
        <v>-1976.951591</v>
      </c>
      <c r="BP35" s="54">
        <f t="array" ref="BP35">-(IF(BP$2=1,Assumptions!$P36/12,-(SUMIF($D$2:$EE$2,BP$2-1,$D35:$EE35)/12)*(1+XLOOKUP(BP$2,Assumptions!$C$94:$M$94,Assumptions!$C$98:$M$98))))</f>
        <v>-1976.951591</v>
      </c>
      <c r="BQ35" s="54">
        <f t="array" ref="BQ35">-(IF(BQ$2=1,Assumptions!$P36/12,-(SUMIF($D$2:$EE$2,BQ$2-1,$D35:$EE35)/12)*(1+XLOOKUP(BQ$2,Assumptions!$C$94:$M$94,Assumptions!$C$98:$M$98))))</f>
        <v>-1976.951591</v>
      </c>
      <c r="BR35" s="54">
        <f t="array" ref="BR35">-(IF(BR$2=1,Assumptions!$P36/12,-(SUMIF($D$2:$EE$2,BR$2-1,$D35:$EE35)/12)*(1+XLOOKUP(BR$2,Assumptions!$C$94:$M$94,Assumptions!$C$98:$M$98))))</f>
        <v>-1976.951591</v>
      </c>
      <c r="BS35" s="54">
        <f t="array" ref="BS35">-(IF(BS$2=1,Assumptions!$P36/12,-(SUMIF($D$2:$EE$2,BS$2-1,$D35:$EE35)/12)*(1+XLOOKUP(BS$2,Assumptions!$C$94:$M$94,Assumptions!$C$98:$M$98))))</f>
        <v>-1976.951591</v>
      </c>
      <c r="BT35" s="54">
        <f t="array" ref="BT35">-(IF(BT$2=1,Assumptions!$P36/12,-(SUMIF($D$2:$EE$2,BT$2-1,$D35:$EE35)/12)*(1+XLOOKUP(BT$2,Assumptions!$C$94:$M$94,Assumptions!$C$98:$M$98))))</f>
        <v>-1976.951591</v>
      </c>
      <c r="BU35" s="54">
        <f t="array" ref="BU35">-(IF(BU$2=1,Assumptions!$P36/12,-(SUMIF($D$2:$EE$2,BU$2-1,$D35:$EE35)/12)*(1+XLOOKUP(BU$2,Assumptions!$C$94:$M$94,Assumptions!$C$98:$M$98))))</f>
        <v>-1976.951591</v>
      </c>
      <c r="BV35" s="54">
        <f t="array" ref="BV35">-(IF(BV$2=1,Assumptions!$P36/12,-(SUMIF($D$2:$EE$2,BV$2-1,$D35:$EE35)/12)*(1+XLOOKUP(BV$2,Assumptions!$C$94:$M$94,Assumptions!$C$98:$M$98))))</f>
        <v>-1976.951591</v>
      </c>
      <c r="BW35" s="54">
        <f t="array" ref="BW35">-(IF(BW$2=1,Assumptions!$P36/12,-(SUMIF($D$2:$EE$2,BW$2-1,$D35:$EE35)/12)*(1+XLOOKUP(BW$2,Assumptions!$C$94:$M$94,Assumptions!$C$98:$M$98))))</f>
        <v>-1976.951591</v>
      </c>
      <c r="BX35" s="54">
        <f t="array" ref="BX35">-(IF(BX$2=1,Assumptions!$P36/12,-(SUMIF($D$2:$EE$2,BX$2-1,$D35:$EE35)/12)*(1+XLOOKUP(BX$2,Assumptions!$C$94:$M$94,Assumptions!$C$98:$M$98))))</f>
        <v>-2036.260138</v>
      </c>
      <c r="BY35" s="54">
        <f t="array" ref="BY35">-(IF(BY$2=1,Assumptions!$P36/12,-(SUMIF($D$2:$EE$2,BY$2-1,$D35:$EE35)/12)*(1+XLOOKUP(BY$2,Assumptions!$C$94:$M$94,Assumptions!$C$98:$M$98))))</f>
        <v>-2036.260138</v>
      </c>
      <c r="BZ35" s="54">
        <f t="array" ref="BZ35">-(IF(BZ$2=1,Assumptions!$P36/12,-(SUMIF($D$2:$EE$2,BZ$2-1,$D35:$EE35)/12)*(1+XLOOKUP(BZ$2,Assumptions!$C$94:$M$94,Assumptions!$C$98:$M$98))))</f>
        <v>-2036.260138</v>
      </c>
      <c r="CA35" s="54">
        <f t="array" ref="CA35">-(IF(CA$2=1,Assumptions!$P36/12,-(SUMIF($D$2:$EE$2,CA$2-1,$D35:$EE35)/12)*(1+XLOOKUP(CA$2,Assumptions!$C$94:$M$94,Assumptions!$C$98:$M$98))))</f>
        <v>-2036.260138</v>
      </c>
      <c r="CB35" s="54">
        <f t="array" ref="CB35">-(IF(CB$2=1,Assumptions!$P36/12,-(SUMIF($D$2:$EE$2,CB$2-1,$D35:$EE35)/12)*(1+XLOOKUP(CB$2,Assumptions!$C$94:$M$94,Assumptions!$C$98:$M$98))))</f>
        <v>-2036.260138</v>
      </c>
      <c r="CC35" s="54">
        <f t="array" ref="CC35">-(IF(CC$2=1,Assumptions!$P36/12,-(SUMIF($D$2:$EE$2,CC$2-1,$D35:$EE35)/12)*(1+XLOOKUP(CC$2,Assumptions!$C$94:$M$94,Assumptions!$C$98:$M$98))))</f>
        <v>-2036.260138</v>
      </c>
      <c r="CD35" s="54">
        <f t="array" ref="CD35">-(IF(CD$2=1,Assumptions!$P36/12,-(SUMIF($D$2:$EE$2,CD$2-1,$D35:$EE35)/12)*(1+XLOOKUP(CD$2,Assumptions!$C$94:$M$94,Assumptions!$C$98:$M$98))))</f>
        <v>-2036.260138</v>
      </c>
      <c r="CE35" s="54">
        <f t="array" ref="CE35">-(IF(CE$2=1,Assumptions!$P36/12,-(SUMIF($D$2:$EE$2,CE$2-1,$D35:$EE35)/12)*(1+XLOOKUP(CE$2,Assumptions!$C$94:$M$94,Assumptions!$C$98:$M$98))))</f>
        <v>-2036.260138</v>
      </c>
      <c r="CF35" s="54">
        <f t="array" ref="CF35">-(IF(CF$2=1,Assumptions!$P36/12,-(SUMIF($D$2:$EE$2,CF$2-1,$D35:$EE35)/12)*(1+XLOOKUP(CF$2,Assumptions!$C$94:$M$94,Assumptions!$C$98:$M$98))))</f>
        <v>-2036.260138</v>
      </c>
      <c r="CG35" s="54">
        <f t="array" ref="CG35">-(IF(CG$2=1,Assumptions!$P36/12,-(SUMIF($D$2:$EE$2,CG$2-1,$D35:$EE35)/12)*(1+XLOOKUP(CG$2,Assumptions!$C$94:$M$94,Assumptions!$C$98:$M$98))))</f>
        <v>-2036.260138</v>
      </c>
      <c r="CH35" s="54">
        <f t="array" ref="CH35">-(IF(CH$2=1,Assumptions!$P36/12,-(SUMIF($D$2:$EE$2,CH$2-1,$D35:$EE35)/12)*(1+XLOOKUP(CH$2,Assumptions!$C$94:$M$94,Assumptions!$C$98:$M$98))))</f>
        <v>-2036.260138</v>
      </c>
      <c r="CI35" s="54">
        <f t="array" ref="CI35">-(IF(CI$2=1,Assumptions!$P36/12,-(SUMIF($D$2:$EE$2,CI$2-1,$D35:$EE35)/12)*(1+XLOOKUP(CI$2,Assumptions!$C$94:$M$94,Assumptions!$C$98:$M$98))))</f>
        <v>-2036.260138</v>
      </c>
      <c r="CJ35" s="54">
        <f t="array" ref="CJ35">-(IF(CJ$2=1,Assumptions!$P36/12,-(SUMIF($D$2:$EE$2,CJ$2-1,$D35:$EE35)/12)*(1+XLOOKUP(CJ$2,Assumptions!$C$94:$M$94,Assumptions!$C$98:$M$98))))</f>
        <v>-2097.347942</v>
      </c>
      <c r="CK35" s="54">
        <f t="array" ref="CK35">-(IF(CK$2=1,Assumptions!$P36/12,-(SUMIF($D$2:$EE$2,CK$2-1,$D35:$EE35)/12)*(1+XLOOKUP(CK$2,Assumptions!$C$94:$M$94,Assumptions!$C$98:$M$98))))</f>
        <v>-2097.347942</v>
      </c>
      <c r="CL35" s="54">
        <f t="array" ref="CL35">-(IF(CL$2=1,Assumptions!$P36/12,-(SUMIF($D$2:$EE$2,CL$2-1,$D35:$EE35)/12)*(1+XLOOKUP(CL$2,Assumptions!$C$94:$M$94,Assumptions!$C$98:$M$98))))</f>
        <v>-2097.347942</v>
      </c>
      <c r="CM35" s="54">
        <f t="array" ref="CM35">-(IF(CM$2=1,Assumptions!$P36/12,-(SUMIF($D$2:$EE$2,CM$2-1,$D35:$EE35)/12)*(1+XLOOKUP(CM$2,Assumptions!$C$94:$M$94,Assumptions!$C$98:$M$98))))</f>
        <v>-2097.347942</v>
      </c>
      <c r="CN35" s="54">
        <f t="array" ref="CN35">-(IF(CN$2=1,Assumptions!$P36/12,-(SUMIF($D$2:$EE$2,CN$2-1,$D35:$EE35)/12)*(1+XLOOKUP(CN$2,Assumptions!$C$94:$M$94,Assumptions!$C$98:$M$98))))</f>
        <v>-2097.347942</v>
      </c>
      <c r="CO35" s="54">
        <f t="array" ref="CO35">-(IF(CO$2=1,Assumptions!$P36/12,-(SUMIF($D$2:$EE$2,CO$2-1,$D35:$EE35)/12)*(1+XLOOKUP(CO$2,Assumptions!$C$94:$M$94,Assumptions!$C$98:$M$98))))</f>
        <v>-2097.347942</v>
      </c>
      <c r="CP35" s="54">
        <f t="array" ref="CP35">-(IF(CP$2=1,Assumptions!$P36/12,-(SUMIF($D$2:$EE$2,CP$2-1,$D35:$EE35)/12)*(1+XLOOKUP(CP$2,Assumptions!$C$94:$M$94,Assumptions!$C$98:$M$98))))</f>
        <v>-2097.347942</v>
      </c>
      <c r="CQ35" s="54">
        <f t="array" ref="CQ35">-(IF(CQ$2=1,Assumptions!$P36/12,-(SUMIF($D$2:$EE$2,CQ$2-1,$D35:$EE35)/12)*(1+XLOOKUP(CQ$2,Assumptions!$C$94:$M$94,Assumptions!$C$98:$M$98))))</f>
        <v>-2097.347942</v>
      </c>
      <c r="CR35" s="54">
        <f t="array" ref="CR35">-(IF(CR$2=1,Assumptions!$P36/12,-(SUMIF($D$2:$EE$2,CR$2-1,$D35:$EE35)/12)*(1+XLOOKUP(CR$2,Assumptions!$C$94:$M$94,Assumptions!$C$98:$M$98))))</f>
        <v>-2097.347942</v>
      </c>
      <c r="CS35" s="54">
        <f t="array" ref="CS35">-(IF(CS$2=1,Assumptions!$P36/12,-(SUMIF($D$2:$EE$2,CS$2-1,$D35:$EE35)/12)*(1+XLOOKUP(CS$2,Assumptions!$C$94:$M$94,Assumptions!$C$98:$M$98))))</f>
        <v>-2097.347942</v>
      </c>
      <c r="CT35" s="54">
        <f t="array" ref="CT35">-(IF(CT$2=1,Assumptions!$P36/12,-(SUMIF($D$2:$EE$2,CT$2-1,$D35:$EE35)/12)*(1+XLOOKUP(CT$2,Assumptions!$C$94:$M$94,Assumptions!$C$98:$M$98))))</f>
        <v>-2097.347942</v>
      </c>
      <c r="CU35" s="54">
        <f t="array" ref="CU35">-(IF(CU$2=1,Assumptions!$P36/12,-(SUMIF($D$2:$EE$2,CU$2-1,$D35:$EE35)/12)*(1+XLOOKUP(CU$2,Assumptions!$C$94:$M$94,Assumptions!$C$98:$M$98))))</f>
        <v>-2097.347942</v>
      </c>
      <c r="CV35" s="54">
        <f t="array" ref="CV35">-(IF(CV$2=1,Assumptions!$P36/12,-(SUMIF($D$2:$EE$2,CV$2-1,$D35:$EE35)/12)*(1+XLOOKUP(CV$2,Assumptions!$C$94:$M$94,Assumptions!$C$98:$M$98))))</f>
        <v>-2160.268381</v>
      </c>
      <c r="CW35" s="54">
        <f t="array" ref="CW35">-(IF(CW$2=1,Assumptions!$P36/12,-(SUMIF($D$2:$EE$2,CW$2-1,$D35:$EE35)/12)*(1+XLOOKUP(CW$2,Assumptions!$C$94:$M$94,Assumptions!$C$98:$M$98))))</f>
        <v>-2160.268381</v>
      </c>
      <c r="CX35" s="54">
        <f t="array" ref="CX35">-(IF(CX$2=1,Assumptions!$P36/12,-(SUMIF($D$2:$EE$2,CX$2-1,$D35:$EE35)/12)*(1+XLOOKUP(CX$2,Assumptions!$C$94:$M$94,Assumptions!$C$98:$M$98))))</f>
        <v>-2160.268381</v>
      </c>
      <c r="CY35" s="54">
        <f t="array" ref="CY35">-(IF(CY$2=1,Assumptions!$P36/12,-(SUMIF($D$2:$EE$2,CY$2-1,$D35:$EE35)/12)*(1+XLOOKUP(CY$2,Assumptions!$C$94:$M$94,Assumptions!$C$98:$M$98))))</f>
        <v>-2160.268381</v>
      </c>
      <c r="CZ35" s="54">
        <f t="array" ref="CZ35">-(IF(CZ$2=1,Assumptions!$P36/12,-(SUMIF($D$2:$EE$2,CZ$2-1,$D35:$EE35)/12)*(1+XLOOKUP(CZ$2,Assumptions!$C$94:$M$94,Assumptions!$C$98:$M$98))))</f>
        <v>-2160.268381</v>
      </c>
      <c r="DA35" s="54">
        <f t="array" ref="DA35">-(IF(DA$2=1,Assumptions!$P36/12,-(SUMIF($D$2:$EE$2,DA$2-1,$D35:$EE35)/12)*(1+XLOOKUP(DA$2,Assumptions!$C$94:$M$94,Assumptions!$C$98:$M$98))))</f>
        <v>-2160.268381</v>
      </c>
      <c r="DB35" s="54">
        <f t="array" ref="DB35">-(IF(DB$2=1,Assumptions!$P36/12,-(SUMIF($D$2:$EE$2,DB$2-1,$D35:$EE35)/12)*(1+XLOOKUP(DB$2,Assumptions!$C$94:$M$94,Assumptions!$C$98:$M$98))))</f>
        <v>-2160.268381</v>
      </c>
      <c r="DC35" s="54">
        <f t="array" ref="DC35">-(IF(DC$2=1,Assumptions!$P36/12,-(SUMIF($D$2:$EE$2,DC$2-1,$D35:$EE35)/12)*(1+XLOOKUP(DC$2,Assumptions!$C$94:$M$94,Assumptions!$C$98:$M$98))))</f>
        <v>-2160.268381</v>
      </c>
      <c r="DD35" s="54">
        <f t="array" ref="DD35">-(IF(DD$2=1,Assumptions!$P36/12,-(SUMIF($D$2:$EE$2,DD$2-1,$D35:$EE35)/12)*(1+XLOOKUP(DD$2,Assumptions!$C$94:$M$94,Assumptions!$C$98:$M$98))))</f>
        <v>-2160.268381</v>
      </c>
      <c r="DE35" s="54">
        <f t="array" ref="DE35">-(IF(DE$2=1,Assumptions!$P36/12,-(SUMIF($D$2:$EE$2,DE$2-1,$D35:$EE35)/12)*(1+XLOOKUP(DE$2,Assumptions!$C$94:$M$94,Assumptions!$C$98:$M$98))))</f>
        <v>-2160.268381</v>
      </c>
      <c r="DF35" s="54">
        <f t="array" ref="DF35">-(IF(DF$2=1,Assumptions!$P36/12,-(SUMIF($D$2:$EE$2,DF$2-1,$D35:$EE35)/12)*(1+XLOOKUP(DF$2,Assumptions!$C$94:$M$94,Assumptions!$C$98:$M$98))))</f>
        <v>-2160.268381</v>
      </c>
      <c r="DG35" s="54">
        <f t="array" ref="DG35">-(IF(DG$2=1,Assumptions!$P36/12,-(SUMIF($D$2:$EE$2,DG$2-1,$D35:$EE35)/12)*(1+XLOOKUP(DG$2,Assumptions!$C$94:$M$94,Assumptions!$C$98:$M$98))))</f>
        <v>-2160.268381</v>
      </c>
      <c r="DH35" s="54">
        <f t="array" ref="DH35">-(IF(DH$2=1,Assumptions!$P36/12,-(SUMIF($D$2:$EE$2,DH$2-1,$D35:$EE35)/12)*(1+XLOOKUP(DH$2,Assumptions!$C$94:$M$94,Assumptions!$C$98:$M$98))))</f>
        <v>-2225.076432</v>
      </c>
      <c r="DI35" s="54">
        <f t="array" ref="DI35">-(IF(DI$2=1,Assumptions!$P36/12,-(SUMIF($D$2:$EE$2,DI$2-1,$D35:$EE35)/12)*(1+XLOOKUP(DI$2,Assumptions!$C$94:$M$94,Assumptions!$C$98:$M$98))))</f>
        <v>-2225.076432</v>
      </c>
      <c r="DJ35" s="54">
        <f t="array" ref="DJ35">-(IF(DJ$2=1,Assumptions!$P36/12,-(SUMIF($D$2:$EE$2,DJ$2-1,$D35:$EE35)/12)*(1+XLOOKUP(DJ$2,Assumptions!$C$94:$M$94,Assumptions!$C$98:$M$98))))</f>
        <v>-2225.076432</v>
      </c>
      <c r="DK35" s="54">
        <f t="array" ref="DK35">-(IF(DK$2=1,Assumptions!$P36/12,-(SUMIF($D$2:$EE$2,DK$2-1,$D35:$EE35)/12)*(1+XLOOKUP(DK$2,Assumptions!$C$94:$M$94,Assumptions!$C$98:$M$98))))</f>
        <v>-2225.076432</v>
      </c>
      <c r="DL35" s="54">
        <f t="array" ref="DL35">-(IF(DL$2=1,Assumptions!$P36/12,-(SUMIF($D$2:$EE$2,DL$2-1,$D35:$EE35)/12)*(1+XLOOKUP(DL$2,Assumptions!$C$94:$M$94,Assumptions!$C$98:$M$98))))</f>
        <v>-2225.076432</v>
      </c>
      <c r="DM35" s="54">
        <f t="array" ref="DM35">-(IF(DM$2=1,Assumptions!$P36/12,-(SUMIF($D$2:$EE$2,DM$2-1,$D35:$EE35)/12)*(1+XLOOKUP(DM$2,Assumptions!$C$94:$M$94,Assumptions!$C$98:$M$98))))</f>
        <v>-2225.076432</v>
      </c>
      <c r="DN35" s="54">
        <f t="array" ref="DN35">-(IF(DN$2=1,Assumptions!$P36/12,-(SUMIF($D$2:$EE$2,DN$2-1,$D35:$EE35)/12)*(1+XLOOKUP(DN$2,Assumptions!$C$94:$M$94,Assumptions!$C$98:$M$98))))</f>
        <v>-2225.076432</v>
      </c>
      <c r="DO35" s="54">
        <f t="array" ref="DO35">-(IF(DO$2=1,Assumptions!$P36/12,-(SUMIF($D$2:$EE$2,DO$2-1,$D35:$EE35)/12)*(1+XLOOKUP(DO$2,Assumptions!$C$94:$M$94,Assumptions!$C$98:$M$98))))</f>
        <v>-2225.076432</v>
      </c>
      <c r="DP35" s="54">
        <f t="array" ref="DP35">-(IF(DP$2=1,Assumptions!$P36/12,-(SUMIF($D$2:$EE$2,DP$2-1,$D35:$EE35)/12)*(1+XLOOKUP(DP$2,Assumptions!$C$94:$M$94,Assumptions!$C$98:$M$98))))</f>
        <v>-2225.076432</v>
      </c>
      <c r="DQ35" s="54">
        <f t="array" ref="DQ35">-(IF(DQ$2=1,Assumptions!$P36/12,-(SUMIF($D$2:$EE$2,DQ$2-1,$D35:$EE35)/12)*(1+XLOOKUP(DQ$2,Assumptions!$C$94:$M$94,Assumptions!$C$98:$M$98))))</f>
        <v>-2225.076432</v>
      </c>
      <c r="DR35" s="54">
        <f t="array" ref="DR35">-(IF(DR$2=1,Assumptions!$P36/12,-(SUMIF($D$2:$EE$2,DR$2-1,$D35:$EE35)/12)*(1+XLOOKUP(DR$2,Assumptions!$C$94:$M$94,Assumptions!$C$98:$M$98))))</f>
        <v>-2225.076432</v>
      </c>
      <c r="DS35" s="54">
        <f t="array" ref="DS35">-(IF(DS$2=1,Assumptions!$P36/12,-(SUMIF($D$2:$EE$2,DS$2-1,$D35:$EE35)/12)*(1+XLOOKUP(DS$2,Assumptions!$C$94:$M$94,Assumptions!$C$98:$M$98))))</f>
        <v>-2225.076432</v>
      </c>
      <c r="DT35" s="54">
        <f t="array" ref="DT35">-(IF(DT$2=1,Assumptions!$P36/12,-(SUMIF($D$2:$EE$2,DT$2-1,$D35:$EE35)/12)*(1+XLOOKUP(DT$2,Assumptions!$C$94:$M$94,Assumptions!$C$98:$M$98))))</f>
        <v>-2291.828725</v>
      </c>
      <c r="DU35" s="54">
        <f t="array" ref="DU35">-(IF(DU$2=1,Assumptions!$P36/12,-(SUMIF($D$2:$EE$2,DU$2-1,$D35:$EE35)/12)*(1+XLOOKUP(DU$2,Assumptions!$C$94:$M$94,Assumptions!$C$98:$M$98))))</f>
        <v>-2291.828725</v>
      </c>
      <c r="DV35" s="54">
        <f t="array" ref="DV35">-(IF(DV$2=1,Assumptions!$P36/12,-(SUMIF($D$2:$EE$2,DV$2-1,$D35:$EE35)/12)*(1+XLOOKUP(DV$2,Assumptions!$C$94:$M$94,Assumptions!$C$98:$M$98))))</f>
        <v>-2291.828725</v>
      </c>
      <c r="DW35" s="54">
        <f t="array" ref="DW35">-(IF(DW$2=1,Assumptions!$P36/12,-(SUMIF($D$2:$EE$2,DW$2-1,$D35:$EE35)/12)*(1+XLOOKUP(DW$2,Assumptions!$C$94:$M$94,Assumptions!$C$98:$M$98))))</f>
        <v>-2291.828725</v>
      </c>
      <c r="DX35" s="54">
        <f t="array" ref="DX35">-(IF(DX$2=1,Assumptions!$P36/12,-(SUMIF($D$2:$EE$2,DX$2-1,$D35:$EE35)/12)*(1+XLOOKUP(DX$2,Assumptions!$C$94:$M$94,Assumptions!$C$98:$M$98))))</f>
        <v>-2291.828725</v>
      </c>
      <c r="DY35" s="54">
        <f t="array" ref="DY35">-(IF(DY$2=1,Assumptions!$P36/12,-(SUMIF($D$2:$EE$2,DY$2-1,$D35:$EE35)/12)*(1+XLOOKUP(DY$2,Assumptions!$C$94:$M$94,Assumptions!$C$98:$M$98))))</f>
        <v>-2291.828725</v>
      </c>
      <c r="DZ35" s="54">
        <f t="array" ref="DZ35">-(IF(DZ$2=1,Assumptions!$P36/12,-(SUMIF($D$2:$EE$2,DZ$2-1,$D35:$EE35)/12)*(1+XLOOKUP(DZ$2,Assumptions!$C$94:$M$94,Assumptions!$C$98:$M$98))))</f>
        <v>-2291.828725</v>
      </c>
      <c r="EA35" s="54">
        <f t="array" ref="EA35">-(IF(EA$2=1,Assumptions!$P36/12,-(SUMIF($D$2:$EE$2,EA$2-1,$D35:$EE35)/12)*(1+XLOOKUP(EA$2,Assumptions!$C$94:$M$94,Assumptions!$C$98:$M$98))))</f>
        <v>-2291.828725</v>
      </c>
      <c r="EB35" s="54">
        <f t="array" ref="EB35">-(IF(EB$2=1,Assumptions!$P36/12,-(SUMIF($D$2:$EE$2,EB$2-1,$D35:$EE35)/12)*(1+XLOOKUP(EB$2,Assumptions!$C$94:$M$94,Assumptions!$C$98:$M$98))))</f>
        <v>-2291.828725</v>
      </c>
      <c r="EC35" s="54">
        <f t="array" ref="EC35">-(IF(EC$2=1,Assumptions!$P36/12,-(SUMIF($D$2:$EE$2,EC$2-1,$D35:$EE35)/12)*(1+XLOOKUP(EC$2,Assumptions!$C$94:$M$94,Assumptions!$C$98:$M$98))))</f>
        <v>-2291.828725</v>
      </c>
      <c r="ED35" s="54">
        <f t="array" ref="ED35">-(IF(ED$2=1,Assumptions!$P36/12,-(SUMIF($D$2:$EE$2,ED$2-1,$D35:$EE35)/12)*(1+XLOOKUP(ED$2,Assumptions!$C$94:$M$94,Assumptions!$C$98:$M$98))))</f>
        <v>-2291.828725</v>
      </c>
      <c r="EE35" s="54">
        <f t="array" ref="EE35">-(IF(EE$2=1,Assumptions!$P36/12,-(SUMIF($D$2:$EE$2,EE$2-1,$D35:$EE35)/12)*(1+XLOOKUP(EE$2,Assumptions!$C$94:$M$94,Assumptions!$C$98:$M$98))))</f>
        <v>-2291.828725</v>
      </c>
    </row>
    <row r="36" ht="15.75" customHeight="1">
      <c r="A36" s="1"/>
      <c r="B36" s="92"/>
      <c r="C36" s="47" t="str">
        <f>Assumptions!J37</f>
        <v>Total Operating Expenses</v>
      </c>
      <c r="D36" s="209">
        <f t="shared" ref="D36:EE36" si="6">SUM(D24:D35)</f>
        <v>-88995.12695</v>
      </c>
      <c r="E36" s="209">
        <f t="shared" si="6"/>
        <v>-88995.12695</v>
      </c>
      <c r="F36" s="209">
        <f t="shared" si="6"/>
        <v>-88995.12695</v>
      </c>
      <c r="G36" s="209">
        <f t="shared" si="6"/>
        <v>-88995.12695</v>
      </c>
      <c r="H36" s="209">
        <f t="shared" si="6"/>
        <v>-88995.12695</v>
      </c>
      <c r="I36" s="209">
        <f t="shared" si="6"/>
        <v>-88995.12695</v>
      </c>
      <c r="J36" s="209">
        <f t="shared" si="6"/>
        <v>-88995.12695</v>
      </c>
      <c r="K36" s="209">
        <f t="shared" si="6"/>
        <v>-88995.12695</v>
      </c>
      <c r="L36" s="209">
        <f t="shared" si="6"/>
        <v>-88995.12695</v>
      </c>
      <c r="M36" s="209">
        <f t="shared" si="6"/>
        <v>-88995.12695</v>
      </c>
      <c r="N36" s="209">
        <f t="shared" si="6"/>
        <v>-88995.12695</v>
      </c>
      <c r="O36" s="209">
        <f t="shared" si="6"/>
        <v>-88995.12695</v>
      </c>
      <c r="P36" s="209">
        <f t="shared" si="6"/>
        <v>-91835.29688</v>
      </c>
      <c r="Q36" s="209">
        <f t="shared" si="6"/>
        <v>-91835.29688</v>
      </c>
      <c r="R36" s="209">
        <f t="shared" si="6"/>
        <v>-91835.29688</v>
      </c>
      <c r="S36" s="209">
        <f t="shared" si="6"/>
        <v>-91835.29688</v>
      </c>
      <c r="T36" s="209">
        <f t="shared" si="6"/>
        <v>-91835.29688</v>
      </c>
      <c r="U36" s="209">
        <f t="shared" si="6"/>
        <v>-91835.29688</v>
      </c>
      <c r="V36" s="209">
        <f t="shared" si="6"/>
        <v>-91835.29688</v>
      </c>
      <c r="W36" s="209">
        <f t="shared" si="6"/>
        <v>-91835.29688</v>
      </c>
      <c r="X36" s="209">
        <f t="shared" si="6"/>
        <v>-91835.29688</v>
      </c>
      <c r="Y36" s="209">
        <f t="shared" si="6"/>
        <v>-91835.29688</v>
      </c>
      <c r="Z36" s="209">
        <f t="shared" si="6"/>
        <v>-91835.29688</v>
      </c>
      <c r="AA36" s="209">
        <f t="shared" si="6"/>
        <v>-91835.29688</v>
      </c>
      <c r="AB36" s="209">
        <f t="shared" si="6"/>
        <v>-94590.35578</v>
      </c>
      <c r="AC36" s="209">
        <f t="shared" si="6"/>
        <v>-94590.35578</v>
      </c>
      <c r="AD36" s="209">
        <f t="shared" si="6"/>
        <v>-94590.35578</v>
      </c>
      <c r="AE36" s="209">
        <f t="shared" si="6"/>
        <v>-94590.35578</v>
      </c>
      <c r="AF36" s="209">
        <f t="shared" si="6"/>
        <v>-94590.35578</v>
      </c>
      <c r="AG36" s="209">
        <f t="shared" si="6"/>
        <v>-94590.35578</v>
      </c>
      <c r="AH36" s="209">
        <f t="shared" si="6"/>
        <v>-94590.35578</v>
      </c>
      <c r="AI36" s="209">
        <f t="shared" si="6"/>
        <v>-94590.35578</v>
      </c>
      <c r="AJ36" s="209">
        <f t="shared" si="6"/>
        <v>-94590.35578</v>
      </c>
      <c r="AK36" s="209">
        <f t="shared" si="6"/>
        <v>-94590.35578</v>
      </c>
      <c r="AL36" s="209">
        <f t="shared" si="6"/>
        <v>-94590.35578</v>
      </c>
      <c r="AM36" s="209">
        <f t="shared" si="6"/>
        <v>-94590.35578</v>
      </c>
      <c r="AN36" s="209">
        <f t="shared" si="6"/>
        <v>-97428.06646</v>
      </c>
      <c r="AO36" s="209">
        <f t="shared" si="6"/>
        <v>-97428.06646</v>
      </c>
      <c r="AP36" s="209">
        <f t="shared" si="6"/>
        <v>-97428.06646</v>
      </c>
      <c r="AQ36" s="209">
        <f t="shared" si="6"/>
        <v>-97428.06646</v>
      </c>
      <c r="AR36" s="209">
        <f t="shared" si="6"/>
        <v>-97428.06646</v>
      </c>
      <c r="AS36" s="209">
        <f t="shared" si="6"/>
        <v>-97428.06646</v>
      </c>
      <c r="AT36" s="209">
        <f t="shared" si="6"/>
        <v>-97428.06646</v>
      </c>
      <c r="AU36" s="209">
        <f t="shared" si="6"/>
        <v>-97428.06646</v>
      </c>
      <c r="AV36" s="209">
        <f t="shared" si="6"/>
        <v>-97428.06646</v>
      </c>
      <c r="AW36" s="209">
        <f t="shared" si="6"/>
        <v>-97428.06646</v>
      </c>
      <c r="AX36" s="209">
        <f t="shared" si="6"/>
        <v>-97428.06646</v>
      </c>
      <c r="AY36" s="209">
        <f t="shared" si="6"/>
        <v>-97428.06646</v>
      </c>
      <c r="AZ36" s="209">
        <f t="shared" si="6"/>
        <v>-100350.9084</v>
      </c>
      <c r="BA36" s="209">
        <f t="shared" si="6"/>
        <v>-100350.9084</v>
      </c>
      <c r="BB36" s="209">
        <f t="shared" si="6"/>
        <v>-100350.9084</v>
      </c>
      <c r="BC36" s="209">
        <f t="shared" si="6"/>
        <v>-100350.9084</v>
      </c>
      <c r="BD36" s="209">
        <f t="shared" si="6"/>
        <v>-100350.9084</v>
      </c>
      <c r="BE36" s="209">
        <f t="shared" si="6"/>
        <v>-100350.9084</v>
      </c>
      <c r="BF36" s="209">
        <f t="shared" si="6"/>
        <v>-100350.9084</v>
      </c>
      <c r="BG36" s="209">
        <f t="shared" si="6"/>
        <v>-100350.9084</v>
      </c>
      <c r="BH36" s="209">
        <f t="shared" si="6"/>
        <v>-100350.9084</v>
      </c>
      <c r="BI36" s="209">
        <f t="shared" si="6"/>
        <v>-100350.9084</v>
      </c>
      <c r="BJ36" s="209">
        <f t="shared" si="6"/>
        <v>-100350.9084</v>
      </c>
      <c r="BK36" s="209">
        <f t="shared" si="6"/>
        <v>-100350.9084</v>
      </c>
      <c r="BL36" s="209">
        <f t="shared" si="6"/>
        <v>-103361.4357</v>
      </c>
      <c r="BM36" s="209">
        <f t="shared" si="6"/>
        <v>-103361.4357</v>
      </c>
      <c r="BN36" s="209">
        <f t="shared" si="6"/>
        <v>-103361.4357</v>
      </c>
      <c r="BO36" s="209">
        <f t="shared" si="6"/>
        <v>-103361.4357</v>
      </c>
      <c r="BP36" s="209">
        <f t="shared" si="6"/>
        <v>-103361.4357</v>
      </c>
      <c r="BQ36" s="209">
        <f t="shared" si="6"/>
        <v>-103361.4357</v>
      </c>
      <c r="BR36" s="209">
        <f t="shared" si="6"/>
        <v>-103361.4357</v>
      </c>
      <c r="BS36" s="209">
        <f t="shared" si="6"/>
        <v>-103361.4357</v>
      </c>
      <c r="BT36" s="209">
        <f t="shared" si="6"/>
        <v>-103361.4357</v>
      </c>
      <c r="BU36" s="209">
        <f t="shared" si="6"/>
        <v>-103361.4357</v>
      </c>
      <c r="BV36" s="209">
        <f t="shared" si="6"/>
        <v>-103361.4357</v>
      </c>
      <c r="BW36" s="209">
        <f t="shared" si="6"/>
        <v>-103361.4357</v>
      </c>
      <c r="BX36" s="209">
        <f t="shared" si="6"/>
        <v>-106462.2788</v>
      </c>
      <c r="BY36" s="209">
        <f t="shared" si="6"/>
        <v>-106462.2788</v>
      </c>
      <c r="BZ36" s="209">
        <f t="shared" si="6"/>
        <v>-106462.2788</v>
      </c>
      <c r="CA36" s="209">
        <f t="shared" si="6"/>
        <v>-106462.2788</v>
      </c>
      <c r="CB36" s="209">
        <f t="shared" si="6"/>
        <v>-106462.2788</v>
      </c>
      <c r="CC36" s="209">
        <f t="shared" si="6"/>
        <v>-106462.2788</v>
      </c>
      <c r="CD36" s="209">
        <f t="shared" si="6"/>
        <v>-106462.2788</v>
      </c>
      <c r="CE36" s="209">
        <f t="shared" si="6"/>
        <v>-106462.2788</v>
      </c>
      <c r="CF36" s="209">
        <f t="shared" si="6"/>
        <v>-106462.2788</v>
      </c>
      <c r="CG36" s="209">
        <f t="shared" si="6"/>
        <v>-106462.2788</v>
      </c>
      <c r="CH36" s="209">
        <f t="shared" si="6"/>
        <v>-106462.2788</v>
      </c>
      <c r="CI36" s="209">
        <f t="shared" si="6"/>
        <v>-106462.2788</v>
      </c>
      <c r="CJ36" s="209">
        <f t="shared" si="6"/>
        <v>-109656.1471</v>
      </c>
      <c r="CK36" s="209">
        <f t="shared" si="6"/>
        <v>-109656.1471</v>
      </c>
      <c r="CL36" s="209">
        <f t="shared" si="6"/>
        <v>-109656.1471</v>
      </c>
      <c r="CM36" s="209">
        <f t="shared" si="6"/>
        <v>-109656.1471</v>
      </c>
      <c r="CN36" s="209">
        <f t="shared" si="6"/>
        <v>-109656.1471</v>
      </c>
      <c r="CO36" s="209">
        <f t="shared" si="6"/>
        <v>-109656.1471</v>
      </c>
      <c r="CP36" s="209">
        <f t="shared" si="6"/>
        <v>-109656.1471</v>
      </c>
      <c r="CQ36" s="209">
        <f t="shared" si="6"/>
        <v>-109656.1471</v>
      </c>
      <c r="CR36" s="209">
        <f t="shared" si="6"/>
        <v>-109656.1471</v>
      </c>
      <c r="CS36" s="209">
        <f t="shared" si="6"/>
        <v>-109656.1471</v>
      </c>
      <c r="CT36" s="209">
        <f t="shared" si="6"/>
        <v>-109656.1471</v>
      </c>
      <c r="CU36" s="209">
        <f t="shared" si="6"/>
        <v>-109656.1471</v>
      </c>
      <c r="CV36" s="209">
        <f t="shared" si="6"/>
        <v>-112945.8316</v>
      </c>
      <c r="CW36" s="209">
        <f t="shared" si="6"/>
        <v>-112945.8316</v>
      </c>
      <c r="CX36" s="209">
        <f t="shared" si="6"/>
        <v>-112945.8316</v>
      </c>
      <c r="CY36" s="209">
        <f t="shared" si="6"/>
        <v>-112945.8316</v>
      </c>
      <c r="CZ36" s="209">
        <f t="shared" si="6"/>
        <v>-112945.8316</v>
      </c>
      <c r="DA36" s="209">
        <f t="shared" si="6"/>
        <v>-112945.8316</v>
      </c>
      <c r="DB36" s="209">
        <f t="shared" si="6"/>
        <v>-112945.8316</v>
      </c>
      <c r="DC36" s="209">
        <f t="shared" si="6"/>
        <v>-112945.8316</v>
      </c>
      <c r="DD36" s="209">
        <f t="shared" si="6"/>
        <v>-112945.8316</v>
      </c>
      <c r="DE36" s="209">
        <f t="shared" si="6"/>
        <v>-112945.8316</v>
      </c>
      <c r="DF36" s="209">
        <f t="shared" si="6"/>
        <v>-112945.8316</v>
      </c>
      <c r="DG36" s="209">
        <f t="shared" si="6"/>
        <v>-112945.8316</v>
      </c>
      <c r="DH36" s="209">
        <f t="shared" si="6"/>
        <v>-116334.2065</v>
      </c>
      <c r="DI36" s="209">
        <f t="shared" si="6"/>
        <v>-116334.2065</v>
      </c>
      <c r="DJ36" s="209">
        <f t="shared" si="6"/>
        <v>-116334.2065</v>
      </c>
      <c r="DK36" s="209">
        <f t="shared" si="6"/>
        <v>-116334.2065</v>
      </c>
      <c r="DL36" s="209">
        <f t="shared" si="6"/>
        <v>-116334.2065</v>
      </c>
      <c r="DM36" s="209">
        <f t="shared" si="6"/>
        <v>-116334.2065</v>
      </c>
      <c r="DN36" s="209">
        <f t="shared" si="6"/>
        <v>-116334.2065</v>
      </c>
      <c r="DO36" s="209">
        <f t="shared" si="6"/>
        <v>-116334.2065</v>
      </c>
      <c r="DP36" s="209">
        <f t="shared" si="6"/>
        <v>-116334.2065</v>
      </c>
      <c r="DQ36" s="209">
        <f t="shared" si="6"/>
        <v>-116334.2065</v>
      </c>
      <c r="DR36" s="209">
        <f t="shared" si="6"/>
        <v>-116334.2065</v>
      </c>
      <c r="DS36" s="209">
        <f t="shared" si="6"/>
        <v>-116334.2065</v>
      </c>
      <c r="DT36" s="209">
        <f t="shared" si="6"/>
        <v>-119602.0088</v>
      </c>
      <c r="DU36" s="209">
        <f t="shared" si="6"/>
        <v>-119602.0088</v>
      </c>
      <c r="DV36" s="209">
        <f t="shared" si="6"/>
        <v>-119602.0088</v>
      </c>
      <c r="DW36" s="209">
        <f t="shared" si="6"/>
        <v>-119602.0088</v>
      </c>
      <c r="DX36" s="209">
        <f t="shared" si="6"/>
        <v>-119602.0088</v>
      </c>
      <c r="DY36" s="209">
        <f t="shared" si="6"/>
        <v>-119602.0088</v>
      </c>
      <c r="DZ36" s="209">
        <f t="shared" si="6"/>
        <v>-119602.0088</v>
      </c>
      <c r="EA36" s="209">
        <f t="shared" si="6"/>
        <v>-119602.0088</v>
      </c>
      <c r="EB36" s="209">
        <f t="shared" si="6"/>
        <v>-119602.0088</v>
      </c>
      <c r="EC36" s="209">
        <f t="shared" si="6"/>
        <v>-119602.0088</v>
      </c>
      <c r="ED36" s="209">
        <f t="shared" si="6"/>
        <v>-119602.0088</v>
      </c>
      <c r="EE36" s="209">
        <f t="shared" si="6"/>
        <v>-119602.0088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7"/>
      <c r="C38" s="47" t="str">
        <f>Assumptions!J39</f>
        <v>Net Operating Income</v>
      </c>
      <c r="D38" s="213">
        <f>IF(OR(D$1=Assumptions!$B$115,D$1=Assumptions!$C$115,D$1=Assumptions!$D$115,D$1=Assumptions!$E$115,D$1=Assumptions!$F$115),(Assumptions!$C$105*D$21)+(SUM(D28+D30+D32+D33+D34)+(Assumptions!$C$105*SUM(D$24:D$27,D$29,D$31,D$35))),(D$21+D$36))</f>
        <v>104769.1383</v>
      </c>
      <c r="E38" s="213">
        <f>IF(OR(E$1=Assumptions!$B$115,E$1=Assumptions!$C$115,E$1=Assumptions!$D$115,E$1=Assumptions!$E$115,E$1=Assumptions!$F$115),(Assumptions!$C$105*E$21)+(SUM(E28+E30+E32+E33+E34)+(Assumptions!$C$105*SUM(E$24:E$27,E$29,E$31,E$35))),(E$21+E$36))</f>
        <v>104769.1383</v>
      </c>
      <c r="F38" s="213">
        <f>IF(OR(F$1=Assumptions!$B$115,F$1=Assumptions!$C$115,F$1=Assumptions!$D$115,F$1=Assumptions!$E$115,F$1=Assumptions!$F$115),(Assumptions!$C$105*F$21)+(SUM(F28+F30+F32+F33+F34)+(Assumptions!$C$105*SUM(F$24:F$27,F$29,F$31,F$35))),(F$21+F$36))</f>
        <v>104769.1383</v>
      </c>
      <c r="G38" s="213">
        <f>IF(OR(G$1=Assumptions!$B$115,G$1=Assumptions!$C$115,G$1=Assumptions!$D$115,G$1=Assumptions!$E$115,G$1=Assumptions!$F$115),(Assumptions!$C$105*G$21)+(SUM(G28+G30+G32+G33+G34)+(Assumptions!$C$105*SUM(G$24:G$27,G$29,G$31,G$35))),(G$21+G$36))</f>
        <v>104769.1383</v>
      </c>
      <c r="H38" s="213">
        <f>IF(OR(H$1=Assumptions!$B$115,H$1=Assumptions!$C$115,H$1=Assumptions!$D$115,H$1=Assumptions!$E$115,H$1=Assumptions!$F$115),(Assumptions!$C$105*H$21)+(SUM(H28+H30+H32+H33+H34)+(Assumptions!$C$105*SUM(H$24:H$27,H$29,H$31,H$35))),(H$21+H$36))</f>
        <v>104769.1383</v>
      </c>
      <c r="I38" s="213">
        <f>IF(OR(I$1=Assumptions!$B$115,I$1=Assumptions!$C$115,I$1=Assumptions!$D$115,I$1=Assumptions!$E$115,I$1=Assumptions!$F$115),(Assumptions!$C$105*I$21)+(SUM(I28+I30+I32+I33+I34)+(Assumptions!$C$105*SUM(I$24:I$27,I$29,I$31,I$35))),(I$21+I$36))</f>
        <v>104769.1383</v>
      </c>
      <c r="J38" s="213">
        <f>IF(OR(J$1=Assumptions!$B$115,J$1=Assumptions!$C$115,J$1=Assumptions!$D$115,J$1=Assumptions!$E$115,J$1=Assumptions!$F$115),(Assumptions!$C$105*J$21)+(SUM(J28+J30+J32+J33+J34)+(Assumptions!$C$105*SUM(J$24:J$27,J$29,J$31,J$35))),(J$21+J$36))</f>
        <v>104769.1383</v>
      </c>
      <c r="K38" s="213">
        <f>IF(OR(K$1=Assumptions!$B$115,K$1=Assumptions!$C$115,K$1=Assumptions!$D$115,K$1=Assumptions!$E$115,K$1=Assumptions!$F$115),(Assumptions!$C$105*K$21)+(SUM(K28+K30+K32+K33+K34)+(Assumptions!$C$105*SUM(K$24:K$27,K$29,K$31,K$35))),(K$21+K$36))</f>
        <v>104769.1383</v>
      </c>
      <c r="L38" s="213">
        <f>IF(OR(L$1=Assumptions!$B$115,L$1=Assumptions!$C$115,L$1=Assumptions!$D$115,L$1=Assumptions!$E$115,L$1=Assumptions!$F$115),(Assumptions!$C$105*L$21)+(SUM(L28+L30+L32+L33+L34)+(Assumptions!$C$105*SUM(L$24:L$27,L$29,L$31,L$35))),(L$21+L$36))</f>
        <v>104769.1383</v>
      </c>
      <c r="M38" s="213">
        <f>IF(OR(M$1=Assumptions!$B$115,M$1=Assumptions!$C$115,M$1=Assumptions!$D$115,M$1=Assumptions!$E$115,M$1=Assumptions!$F$115),(Assumptions!$C$105*M$21)+(SUM(M28+M30+M32+M33+M34)+(Assumptions!$C$105*SUM(M$24:M$27,M$29,M$31,M$35))),(M$21+M$36))</f>
        <v>104769.1383</v>
      </c>
      <c r="N38" s="213">
        <f>IF(OR(N$1=Assumptions!$B$115,N$1=Assumptions!$C$115,N$1=Assumptions!$D$115,N$1=Assumptions!$E$115,N$1=Assumptions!$F$115),(Assumptions!$C$105*N$21)+(SUM(N28+N30+N32+N33+N34)+(Assumptions!$C$105*SUM(N$24:N$27,N$29,N$31,N$35))),(N$21+N$36))</f>
        <v>104769.1383</v>
      </c>
      <c r="O38" s="213">
        <f>IF(OR(O$1=Assumptions!$B$115,O$1=Assumptions!$C$115,O$1=Assumptions!$D$115,O$1=Assumptions!$E$115,O$1=Assumptions!$F$115),(Assumptions!$C$105*O$21)+(SUM(O28+O30+O32+O33+O34)+(Assumptions!$C$105*SUM(O$24:O$27,O$29,O$31,O$35))),(O$21+O$36))</f>
        <v>104769.1383</v>
      </c>
      <c r="P38" s="213">
        <f>IF(OR(P$1=Assumptions!$B$115,P$1=Assumptions!$C$115,P$1=Assumptions!$D$115,P$1=Assumptions!$E$115,P$1=Assumptions!$F$115),(Assumptions!$C$105*P$21)+(SUM(P28+P30+P32+P33+P34)+(Assumptions!$C$105*SUM(P$24:P$27,P$29,P$31,P$35))),(P$21+P$36))</f>
        <v>121570.055</v>
      </c>
      <c r="Q38" s="213">
        <f>IF(OR(Q$1=Assumptions!$B$115,Q$1=Assumptions!$C$115,Q$1=Assumptions!$D$115,Q$1=Assumptions!$E$115,Q$1=Assumptions!$F$115),(Assumptions!$C$105*Q$21)+(SUM(Q28+Q30+Q32+Q33+Q34)+(Assumptions!$C$105*SUM(Q$24:Q$27,Q$29,Q$31,Q$35))),(Q$21+Q$36))</f>
        <v>121570.055</v>
      </c>
      <c r="R38" s="213">
        <f>IF(OR(R$1=Assumptions!$B$115,R$1=Assumptions!$C$115,R$1=Assumptions!$D$115,R$1=Assumptions!$E$115,R$1=Assumptions!$F$115),(Assumptions!$C$105*R$21)+(SUM(R28+R30+R32+R33+R34)+(Assumptions!$C$105*SUM(R$24:R$27,R$29,R$31,R$35))),(R$21+R$36))</f>
        <v>121570.055</v>
      </c>
      <c r="S38" s="213">
        <f>IF(OR(S$1=Assumptions!$B$115,S$1=Assumptions!$C$115,S$1=Assumptions!$D$115,S$1=Assumptions!$E$115,S$1=Assumptions!$F$115),(Assumptions!$C$105*S$21)+(SUM(S28+S30+S32+S33+S34)+(Assumptions!$C$105*SUM(S$24:S$27,S$29,S$31,S$35))),(S$21+S$36))</f>
        <v>121570.055</v>
      </c>
      <c r="T38" s="213">
        <f>IF(OR(T$1=Assumptions!$B$115,T$1=Assumptions!$C$115,T$1=Assumptions!$D$115,T$1=Assumptions!$E$115,T$1=Assumptions!$F$115),(Assumptions!$C$105*T$21)+(SUM(T28+T30+T32+T33+T34)+(Assumptions!$C$105*SUM(T$24:T$27,T$29,T$31,T$35))),(T$21+T$36))</f>
        <v>121570.055</v>
      </c>
      <c r="U38" s="213">
        <f>IF(OR(U$1=Assumptions!$B$115,U$1=Assumptions!$C$115,U$1=Assumptions!$D$115,U$1=Assumptions!$E$115,U$1=Assumptions!$F$115),(Assumptions!$C$105*U$21)+(SUM(U28+U30+U32+U33+U34)+(Assumptions!$C$105*SUM(U$24:U$27,U$29,U$31,U$35))),(U$21+U$36))</f>
        <v>121570.055</v>
      </c>
      <c r="V38" s="213">
        <f>IF(OR(V$1=Assumptions!$B$115,V$1=Assumptions!$C$115,V$1=Assumptions!$D$115,V$1=Assumptions!$E$115,V$1=Assumptions!$F$115),(Assumptions!$C$105*V$21)+(SUM(V28+V30+V32+V33+V34)+(Assumptions!$C$105*SUM(V$24:V$27,V$29,V$31,V$35))),(V$21+V$36))</f>
        <v>121570.055</v>
      </c>
      <c r="W38" s="213">
        <f>IF(OR(W$1=Assumptions!$B$115,W$1=Assumptions!$C$115,W$1=Assumptions!$D$115,W$1=Assumptions!$E$115,W$1=Assumptions!$F$115),(Assumptions!$C$105*W$21)+(SUM(W28+W30+W32+W33+W34)+(Assumptions!$C$105*SUM(W$24:W$27,W$29,W$31,W$35))),(W$21+W$36))</f>
        <v>121570.055</v>
      </c>
      <c r="X38" s="213">
        <f>IF(OR(X$1=Assumptions!$B$115,X$1=Assumptions!$C$115,X$1=Assumptions!$D$115,X$1=Assumptions!$E$115,X$1=Assumptions!$F$115),(Assumptions!$C$105*X$21)+(SUM(X28+X30+X32+X33+X34)+(Assumptions!$C$105*SUM(X$24:X$27,X$29,X$31,X$35))),(X$21+X$36))</f>
        <v>121570.055</v>
      </c>
      <c r="Y38" s="213">
        <f>IF(OR(Y$1=Assumptions!$B$115,Y$1=Assumptions!$C$115,Y$1=Assumptions!$D$115,Y$1=Assumptions!$E$115,Y$1=Assumptions!$F$115),(Assumptions!$C$105*Y$21)+(SUM(Y28+Y30+Y32+Y33+Y34)+(Assumptions!$C$105*SUM(Y$24:Y$27,Y$29,Y$31,Y$35))),(Y$21+Y$36))</f>
        <v>121570.055</v>
      </c>
      <c r="Z38" s="213">
        <f>IF(OR(Z$1=Assumptions!$B$115,Z$1=Assumptions!$C$115,Z$1=Assumptions!$D$115,Z$1=Assumptions!$E$115,Z$1=Assumptions!$F$115),(Assumptions!$C$105*Z$21)+(SUM(Z28+Z30+Z32+Z33+Z34)+(Assumptions!$C$105*SUM(Z$24:Z$27,Z$29,Z$31,Z$35))),(Z$21+Z$36))</f>
        <v>121570.055</v>
      </c>
      <c r="AA38" s="213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121570.055</v>
      </c>
      <c r="AB38" s="213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125217.1566</v>
      </c>
      <c r="AC38" s="213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125217.1566</v>
      </c>
      <c r="AD38" s="213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125217.1566</v>
      </c>
      <c r="AE38" s="213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125217.1566</v>
      </c>
      <c r="AF38" s="213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125217.1566</v>
      </c>
      <c r="AG38" s="213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125217.1566</v>
      </c>
      <c r="AH38" s="213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125217.1566</v>
      </c>
      <c r="AI38" s="213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125217.1566</v>
      </c>
      <c r="AJ38" s="213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125217.1566</v>
      </c>
      <c r="AK38" s="213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125217.1566</v>
      </c>
      <c r="AL38" s="213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125217.1566</v>
      </c>
      <c r="AM38" s="213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125217.1566</v>
      </c>
      <c r="AN38" s="213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128973.6713</v>
      </c>
      <c r="AO38" s="213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128973.6713</v>
      </c>
      <c r="AP38" s="213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128973.6713</v>
      </c>
      <c r="AQ38" s="213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128973.6713</v>
      </c>
      <c r="AR38" s="213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128973.6713</v>
      </c>
      <c r="AS38" s="213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128973.6713</v>
      </c>
      <c r="AT38" s="213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128973.6713</v>
      </c>
      <c r="AU38" s="213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128973.6713</v>
      </c>
      <c r="AV38" s="213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128973.6713</v>
      </c>
      <c r="AW38" s="213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128973.6713</v>
      </c>
      <c r="AX38" s="213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128973.6713</v>
      </c>
      <c r="AY38" s="213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128973.6713</v>
      </c>
      <c r="AZ38" s="213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132842.8815</v>
      </c>
      <c r="BA38" s="213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132842.8815</v>
      </c>
      <c r="BB38" s="213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132842.8815</v>
      </c>
      <c r="BC38" s="213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132842.8815</v>
      </c>
      <c r="BD38" s="213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132842.8815</v>
      </c>
      <c r="BE38" s="213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132842.8815</v>
      </c>
      <c r="BF38" s="213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132842.8815</v>
      </c>
      <c r="BG38" s="213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132842.8815</v>
      </c>
      <c r="BH38" s="213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132842.8815</v>
      </c>
      <c r="BI38" s="213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132842.8815</v>
      </c>
      <c r="BJ38" s="213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132842.8815</v>
      </c>
      <c r="BK38" s="213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132842.8815</v>
      </c>
      <c r="BL38" s="213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136828.1679</v>
      </c>
      <c r="BM38" s="213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136828.1679</v>
      </c>
      <c r="BN38" s="213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136828.1679</v>
      </c>
      <c r="BO38" s="213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136828.1679</v>
      </c>
      <c r="BP38" s="213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136828.1679</v>
      </c>
      <c r="BQ38" s="213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136828.1679</v>
      </c>
      <c r="BR38" s="213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136828.1679</v>
      </c>
      <c r="BS38" s="213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136828.1679</v>
      </c>
      <c r="BT38" s="213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136828.1679</v>
      </c>
      <c r="BU38" s="213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136828.1679</v>
      </c>
      <c r="BV38" s="213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136828.1679</v>
      </c>
      <c r="BW38" s="213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136828.1679</v>
      </c>
      <c r="BX38" s="213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140933.0129</v>
      </c>
      <c r="BY38" s="213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140933.0129</v>
      </c>
      <c r="BZ38" s="213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140933.0129</v>
      </c>
      <c r="CA38" s="213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140933.0129</v>
      </c>
      <c r="CB38" s="213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140933.0129</v>
      </c>
      <c r="CC38" s="213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140933.0129</v>
      </c>
      <c r="CD38" s="213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140933.0129</v>
      </c>
      <c r="CE38" s="213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140933.0129</v>
      </c>
      <c r="CF38" s="213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140933.0129</v>
      </c>
      <c r="CG38" s="213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140933.0129</v>
      </c>
      <c r="CH38" s="213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140933.0129</v>
      </c>
      <c r="CI38" s="213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140933.0129</v>
      </c>
      <c r="CJ38" s="213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145161.0033</v>
      </c>
      <c r="CK38" s="213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145161.0033</v>
      </c>
      <c r="CL38" s="213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145161.0033</v>
      </c>
      <c r="CM38" s="213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145161.0033</v>
      </c>
      <c r="CN38" s="213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145161.0033</v>
      </c>
      <c r="CO38" s="213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145161.0033</v>
      </c>
      <c r="CP38" s="213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145161.0033</v>
      </c>
      <c r="CQ38" s="213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145161.0033</v>
      </c>
      <c r="CR38" s="213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145161.0033</v>
      </c>
      <c r="CS38" s="213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145161.0033</v>
      </c>
      <c r="CT38" s="213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145161.0033</v>
      </c>
      <c r="CU38" s="213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145161.0033</v>
      </c>
      <c r="CV38" s="213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149515.8334</v>
      </c>
      <c r="CW38" s="213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149515.8334</v>
      </c>
      <c r="CX38" s="213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149515.8334</v>
      </c>
      <c r="CY38" s="213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149515.8334</v>
      </c>
      <c r="CZ38" s="213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149515.8334</v>
      </c>
      <c r="DA38" s="213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149515.8334</v>
      </c>
      <c r="DB38" s="213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149515.8334</v>
      </c>
      <c r="DC38" s="213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149515.8334</v>
      </c>
      <c r="DD38" s="213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149515.8334</v>
      </c>
      <c r="DE38" s="213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149515.8334</v>
      </c>
      <c r="DF38" s="213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149515.8334</v>
      </c>
      <c r="DG38" s="213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149515.8334</v>
      </c>
      <c r="DH38" s="213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154001.3084</v>
      </c>
      <c r="DI38" s="213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154001.3084</v>
      </c>
      <c r="DJ38" s="213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154001.3084</v>
      </c>
      <c r="DK38" s="213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154001.3084</v>
      </c>
      <c r="DL38" s="213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154001.3084</v>
      </c>
      <c r="DM38" s="213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154001.3084</v>
      </c>
      <c r="DN38" s="213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154001.3084</v>
      </c>
      <c r="DO38" s="213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154001.3084</v>
      </c>
      <c r="DP38" s="213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154001.3084</v>
      </c>
      <c r="DQ38" s="213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154001.3084</v>
      </c>
      <c r="DR38" s="213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154001.3084</v>
      </c>
      <c r="DS38" s="213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154001.3084</v>
      </c>
      <c r="DT38" s="213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151436.108</v>
      </c>
      <c r="DU38" s="213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151436.108</v>
      </c>
      <c r="DV38" s="213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151436.108</v>
      </c>
      <c r="DW38" s="213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151436.108</v>
      </c>
      <c r="DX38" s="213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151436.108</v>
      </c>
      <c r="DY38" s="213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151436.108</v>
      </c>
      <c r="DZ38" s="213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151436.108</v>
      </c>
      <c r="EA38" s="213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151436.108</v>
      </c>
      <c r="EB38" s="213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151436.108</v>
      </c>
      <c r="EC38" s="213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151436.108</v>
      </c>
      <c r="ED38" s="213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151436.108</v>
      </c>
      <c r="EE38" s="213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151436.108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70" t="str">
        <f>'305 e. Daniel'!C40</f>
        <v>Capital Expenditure</v>
      </c>
      <c r="D40" s="132">
        <f>IF(OR(D$1=Assumptions!$B$115,D$1=Assumptions!$C$115,D$1=Assumptions!$D$115,D$1=Assumptions!$E$115,D$1=Assumptions!$F$115),Assumptions!$L$12*Assumptions!$C$102/Assumptions!$C$104,0)</f>
        <v>0</v>
      </c>
      <c r="E40" s="132">
        <f>IF(OR(E$1=Assumptions!$B$115,E$1=Assumptions!$C$115,E$1=Assumptions!$D$115,E$1=Assumptions!$E$115,E$1=Assumptions!$F$115),Assumptions!$L$12*Assumptions!$C$102/Assumptions!$C$104,0)</f>
        <v>0</v>
      </c>
      <c r="F40" s="132">
        <f>IF(OR(F$1=Assumptions!$B$115,F$1=Assumptions!$C$115,F$1=Assumptions!$D$115,F$1=Assumptions!$E$115,F$1=Assumptions!$F$115),Assumptions!$L$12*Assumptions!$C$102/Assumptions!$C$104,0)</f>
        <v>0</v>
      </c>
      <c r="G40" s="132">
        <f>IF(OR(G$1=Assumptions!$B$115,G$1=Assumptions!$C$115,G$1=Assumptions!$D$115,G$1=Assumptions!$E$115,G$1=Assumptions!$F$115),Assumptions!$L$12*Assumptions!$C$102/Assumptions!$C$104,0)</f>
        <v>0</v>
      </c>
      <c r="H40" s="132">
        <f>IF(OR(H$1=Assumptions!$B$115,H$1=Assumptions!$C$115,H$1=Assumptions!$D$115,H$1=Assumptions!$E$115,H$1=Assumptions!$F$115),Assumptions!$L$12*Assumptions!$C$102/Assumptions!$C$104,0)</f>
        <v>0</v>
      </c>
      <c r="I40" s="132">
        <f>IF(OR(I$1=Assumptions!$B$115,I$1=Assumptions!$C$115,I$1=Assumptions!$D$115,I$1=Assumptions!$E$115,I$1=Assumptions!$F$115),Assumptions!$L$12*Assumptions!$C$102/Assumptions!$C$104,0)</f>
        <v>0</v>
      </c>
      <c r="J40" s="132">
        <f>IF(OR(J$1=Assumptions!$B$115,J$1=Assumptions!$C$115,J$1=Assumptions!$D$115,J$1=Assumptions!$E$115,J$1=Assumptions!$F$115),Assumptions!$L$12*Assumptions!$C$102/Assumptions!$C$104,0)</f>
        <v>0</v>
      </c>
      <c r="K40" s="132">
        <f>IF(OR(K$1=Assumptions!$B$115,K$1=Assumptions!$C$115,K$1=Assumptions!$D$115,K$1=Assumptions!$E$115,K$1=Assumptions!$F$115),Assumptions!$L$12*Assumptions!$C$102/Assumptions!$C$104,0)</f>
        <v>0</v>
      </c>
      <c r="L40" s="132">
        <f>IF(OR(L$1=Assumptions!$B$115,L$1=Assumptions!$C$115,L$1=Assumptions!$D$115,L$1=Assumptions!$E$115,L$1=Assumptions!$F$115),Assumptions!$L$12*Assumptions!$C$102/Assumptions!$C$104,0)</f>
        <v>0</v>
      </c>
      <c r="M40" s="132">
        <f>IF(OR(M$1=Assumptions!$B$115,M$1=Assumptions!$C$115,M$1=Assumptions!$D$115,M$1=Assumptions!$E$115,M$1=Assumptions!$F$115),Assumptions!$L$12*Assumptions!$C$102/Assumptions!$C$104,0)</f>
        <v>0</v>
      </c>
      <c r="N40" s="132">
        <f>IF(OR(N$1=Assumptions!$B$115,N$1=Assumptions!$C$115,N$1=Assumptions!$D$115,N$1=Assumptions!$E$115,N$1=Assumptions!$F$115),Assumptions!$L$12*Assumptions!$C$102/Assumptions!$C$104,0)</f>
        <v>0</v>
      </c>
      <c r="O40" s="132">
        <f>IF(OR(O$1=Assumptions!$B$115,O$1=Assumptions!$C$115,O$1=Assumptions!$D$115,O$1=Assumptions!$E$115,O$1=Assumptions!$F$115),Assumptions!$L$12*Assumptions!$C$102/Assumptions!$C$104,0)</f>
        <v>0</v>
      </c>
      <c r="P40" s="132">
        <f>IF(OR(P$1=Assumptions!$B$115,P$1=Assumptions!$C$115,P$1=Assumptions!$D$115,P$1=Assumptions!$E$115,P$1=Assumptions!$F$115),Assumptions!$L$12*Assumptions!$C$102/Assumptions!$C$104,0)</f>
        <v>0</v>
      </c>
      <c r="Q40" s="132">
        <f>IF(OR(Q$1=Assumptions!$B$115,Q$1=Assumptions!$C$115,Q$1=Assumptions!$D$115,Q$1=Assumptions!$E$115,Q$1=Assumptions!$F$115),Assumptions!$L$12*Assumptions!$C$102/Assumptions!$C$104,0)</f>
        <v>0</v>
      </c>
      <c r="R40" s="132">
        <f>IF(OR(R$1=Assumptions!$B$115,R$1=Assumptions!$C$115,R$1=Assumptions!$D$115,R$1=Assumptions!$E$115,R$1=Assumptions!$F$115),Assumptions!$L$12*Assumptions!$C$102/Assumptions!$C$104,0)</f>
        <v>0</v>
      </c>
      <c r="S40" s="132">
        <f>IF(OR(S$1=Assumptions!$B$115,S$1=Assumptions!$C$115,S$1=Assumptions!$D$115,S$1=Assumptions!$E$115,S$1=Assumptions!$F$115),Assumptions!$L$12*Assumptions!$C$102/Assumptions!$C$104,0)</f>
        <v>0</v>
      </c>
      <c r="T40" s="132">
        <f>IF(OR(T$1=Assumptions!$B$115,T$1=Assumptions!$C$115,T$1=Assumptions!$D$115,T$1=Assumptions!$E$115,T$1=Assumptions!$F$115),Assumptions!$L$12*Assumptions!$C$102/Assumptions!$C$104,0)</f>
        <v>0</v>
      </c>
      <c r="U40" s="132">
        <f>IF(OR(U$1=Assumptions!$B$115,U$1=Assumptions!$C$115,U$1=Assumptions!$D$115,U$1=Assumptions!$E$115,U$1=Assumptions!$F$115),Assumptions!$L$12*Assumptions!$C$102/Assumptions!$C$104,0)</f>
        <v>0</v>
      </c>
      <c r="V40" s="132">
        <f>IF(OR(V$1=Assumptions!$B$115,V$1=Assumptions!$C$115,V$1=Assumptions!$D$115,V$1=Assumptions!$E$115,V$1=Assumptions!$F$115),Assumptions!$L$12*Assumptions!$C$102/Assumptions!$C$104,0)</f>
        <v>0</v>
      </c>
      <c r="W40" s="132">
        <f>IF(OR(W$1=Assumptions!$B$115,W$1=Assumptions!$C$115,W$1=Assumptions!$D$115,W$1=Assumptions!$E$115,W$1=Assumptions!$F$115),Assumptions!$L$12*Assumptions!$C$102/Assumptions!$C$104,0)</f>
        <v>0</v>
      </c>
      <c r="X40" s="132">
        <f>IF(OR(X$1=Assumptions!$B$115,X$1=Assumptions!$C$115,X$1=Assumptions!$D$115,X$1=Assumptions!$E$115,X$1=Assumptions!$F$115),Assumptions!$L$12*Assumptions!$C$102/Assumptions!$C$104,0)</f>
        <v>0</v>
      </c>
      <c r="Y40" s="132">
        <f>IF(OR(Y$1=Assumptions!$B$115,Y$1=Assumptions!$C$115,Y$1=Assumptions!$D$115,Y$1=Assumptions!$E$115,Y$1=Assumptions!$F$115),Assumptions!$L$12*Assumptions!$C$102/Assumptions!$C$104,0)</f>
        <v>0</v>
      </c>
      <c r="Z40" s="132">
        <f>IF(OR(Z$1=Assumptions!$B$115,Z$1=Assumptions!$C$115,Z$1=Assumptions!$D$115,Z$1=Assumptions!$E$115,Z$1=Assumptions!$F$115),Assumptions!$L$12*Assumptions!$C$102/Assumptions!$C$104,0)</f>
        <v>0</v>
      </c>
      <c r="AA40" s="132">
        <f>IF(OR(AA$1=Assumptions!$B$115,AA$1=Assumptions!$C$115,AA$1=Assumptions!$D$115,AA$1=Assumptions!$E$115,AA$1=Assumptions!$F$115),Assumptions!$L$12*Assumptions!$C$102/Assumptions!$C$104,0)</f>
        <v>0</v>
      </c>
      <c r="AB40" s="132">
        <f>IF(OR(AB$1=Assumptions!$B$115,AB$1=Assumptions!$C$115,AB$1=Assumptions!$D$115,AB$1=Assumptions!$E$115,AB$1=Assumptions!$F$115),Assumptions!$L$12*Assumptions!$C$102/Assumptions!$C$104,0)</f>
        <v>0</v>
      </c>
      <c r="AC40" s="132">
        <f>IF(OR(AC$1=Assumptions!$B$115,AC$1=Assumptions!$C$115,AC$1=Assumptions!$D$115,AC$1=Assumptions!$E$115,AC$1=Assumptions!$F$115),Assumptions!$L$12*Assumptions!$C$102/Assumptions!$C$104,0)</f>
        <v>0</v>
      </c>
      <c r="AD40" s="132">
        <f>IF(OR(AD$1=Assumptions!$B$115,AD$1=Assumptions!$C$115,AD$1=Assumptions!$D$115,AD$1=Assumptions!$E$115,AD$1=Assumptions!$F$115),Assumptions!$L$12*Assumptions!$C$102/Assumptions!$C$104,0)</f>
        <v>0</v>
      </c>
      <c r="AE40" s="132">
        <f>IF(OR(AE$1=Assumptions!$B$115,AE$1=Assumptions!$C$115,AE$1=Assumptions!$D$115,AE$1=Assumptions!$E$115,AE$1=Assumptions!$F$115),Assumptions!$L$12*Assumptions!$C$102/Assumptions!$C$104,0)</f>
        <v>0</v>
      </c>
      <c r="AF40" s="132">
        <f>IF(OR(AF$1=Assumptions!$B$115,AF$1=Assumptions!$C$115,AF$1=Assumptions!$D$115,AF$1=Assumptions!$E$115,AF$1=Assumptions!$F$115),Assumptions!$L$12*Assumptions!$C$102/Assumptions!$C$104,0)</f>
        <v>0</v>
      </c>
      <c r="AG40" s="132">
        <f>IF(OR(AG$1=Assumptions!$B$115,AG$1=Assumptions!$C$115,AG$1=Assumptions!$D$115,AG$1=Assumptions!$E$115,AG$1=Assumptions!$F$115),Assumptions!$L$12*Assumptions!$C$102/Assumptions!$C$104,0)</f>
        <v>0</v>
      </c>
      <c r="AH40" s="132">
        <f>IF(OR(AH$1=Assumptions!$B$115,AH$1=Assumptions!$C$115,AH$1=Assumptions!$D$115,AH$1=Assumptions!$E$115,AH$1=Assumptions!$F$115),Assumptions!$L$12*Assumptions!$C$102/Assumptions!$C$104,0)</f>
        <v>0</v>
      </c>
      <c r="AI40" s="132">
        <f>IF(OR(AI$1=Assumptions!$B$115,AI$1=Assumptions!$C$115,AI$1=Assumptions!$D$115,AI$1=Assumptions!$E$115,AI$1=Assumptions!$F$115),Assumptions!$L$12*Assumptions!$C$102/Assumptions!$C$104,0)</f>
        <v>0</v>
      </c>
      <c r="AJ40" s="132">
        <f>IF(OR(AJ$1=Assumptions!$B$115,AJ$1=Assumptions!$C$115,AJ$1=Assumptions!$D$115,AJ$1=Assumptions!$E$115,AJ$1=Assumptions!$F$115),Assumptions!$L$12*Assumptions!$C$102/Assumptions!$C$104,0)</f>
        <v>0</v>
      </c>
      <c r="AK40" s="132">
        <f>IF(OR(AK$1=Assumptions!$B$115,AK$1=Assumptions!$C$115,AK$1=Assumptions!$D$115,AK$1=Assumptions!$E$115,AK$1=Assumptions!$F$115),Assumptions!$L$12*Assumptions!$C$102/Assumptions!$C$104,0)</f>
        <v>0</v>
      </c>
      <c r="AL40" s="132">
        <f>IF(OR(AL$1=Assumptions!$B$115,AL$1=Assumptions!$C$115,AL$1=Assumptions!$D$115,AL$1=Assumptions!$E$115,AL$1=Assumptions!$F$115),Assumptions!$L$12*Assumptions!$C$102/Assumptions!$C$104,0)</f>
        <v>0</v>
      </c>
      <c r="AM40" s="132">
        <f>IF(OR(AM$1=Assumptions!$B$115,AM$1=Assumptions!$C$115,AM$1=Assumptions!$D$115,AM$1=Assumptions!$E$115,AM$1=Assumptions!$F$115),Assumptions!$L$12*Assumptions!$C$102/Assumptions!$C$104,0)</f>
        <v>0</v>
      </c>
      <c r="AN40" s="132">
        <f>IF(OR(AN$1=Assumptions!$B$115,AN$1=Assumptions!$C$115,AN$1=Assumptions!$D$115,AN$1=Assumptions!$E$115,AN$1=Assumptions!$F$115),Assumptions!$L$12*Assumptions!$C$102/Assumptions!$C$104,0)</f>
        <v>0</v>
      </c>
      <c r="AO40" s="132">
        <f>IF(OR(AO$1=Assumptions!$B$115,AO$1=Assumptions!$C$115,AO$1=Assumptions!$D$115,AO$1=Assumptions!$E$115,AO$1=Assumptions!$F$115),Assumptions!$L$12*Assumptions!$C$102/Assumptions!$C$104,0)</f>
        <v>0</v>
      </c>
      <c r="AP40" s="132">
        <f>IF(OR(AP$1=Assumptions!$B$115,AP$1=Assumptions!$C$115,AP$1=Assumptions!$D$115,AP$1=Assumptions!$E$115,AP$1=Assumptions!$F$115),Assumptions!$L$12*Assumptions!$C$102/Assumptions!$C$104,0)</f>
        <v>0</v>
      </c>
      <c r="AQ40" s="132">
        <f>IF(OR(AQ$1=Assumptions!$B$115,AQ$1=Assumptions!$C$115,AQ$1=Assumptions!$D$115,AQ$1=Assumptions!$E$115,AQ$1=Assumptions!$F$115),Assumptions!$L$12*Assumptions!$C$102/Assumptions!$C$104,0)</f>
        <v>0</v>
      </c>
      <c r="AR40" s="132">
        <f>IF(OR(AR$1=Assumptions!$B$115,AR$1=Assumptions!$C$115,AR$1=Assumptions!$D$115,AR$1=Assumptions!$E$115,AR$1=Assumptions!$F$115),Assumptions!$L$12*Assumptions!$C$102/Assumptions!$C$104,0)</f>
        <v>0</v>
      </c>
      <c r="AS40" s="132">
        <f>IF(OR(AS$1=Assumptions!$B$115,AS$1=Assumptions!$C$115,AS$1=Assumptions!$D$115,AS$1=Assumptions!$E$115,AS$1=Assumptions!$F$115),Assumptions!$L$12*Assumptions!$C$102/Assumptions!$C$104,0)</f>
        <v>0</v>
      </c>
      <c r="AT40" s="132">
        <f>IF(OR(AT$1=Assumptions!$B$115,AT$1=Assumptions!$C$115,AT$1=Assumptions!$D$115,AT$1=Assumptions!$E$115,AT$1=Assumptions!$F$115),Assumptions!$L$12*Assumptions!$C$102/Assumptions!$C$104,0)</f>
        <v>0</v>
      </c>
      <c r="AU40" s="132">
        <f>IF(OR(AU$1=Assumptions!$B$115,AU$1=Assumptions!$C$115,AU$1=Assumptions!$D$115,AU$1=Assumptions!$E$115,AU$1=Assumptions!$F$115),Assumptions!$L$12*Assumptions!$C$102/Assumptions!$C$104,0)</f>
        <v>0</v>
      </c>
      <c r="AV40" s="132">
        <f>IF(OR(AV$1=Assumptions!$B$115,AV$1=Assumptions!$C$115,AV$1=Assumptions!$D$115,AV$1=Assumptions!$E$115,AV$1=Assumptions!$F$115),Assumptions!$L$12*Assumptions!$C$102/Assumptions!$C$104,0)</f>
        <v>0</v>
      </c>
      <c r="AW40" s="132">
        <f>IF(OR(AW$1=Assumptions!$B$115,AW$1=Assumptions!$C$115,AW$1=Assumptions!$D$115,AW$1=Assumptions!$E$115,AW$1=Assumptions!$F$115),Assumptions!$L$12*Assumptions!$C$102/Assumptions!$C$104,0)</f>
        <v>0</v>
      </c>
      <c r="AX40" s="132">
        <f>IF(OR(AX$1=Assumptions!$B$115,AX$1=Assumptions!$C$115,AX$1=Assumptions!$D$115,AX$1=Assumptions!$E$115,AX$1=Assumptions!$F$115),Assumptions!$L$12*Assumptions!$C$102/Assumptions!$C$104,0)</f>
        <v>0</v>
      </c>
      <c r="AY40" s="132">
        <f>IF(OR(AY$1=Assumptions!$B$115,AY$1=Assumptions!$C$115,AY$1=Assumptions!$D$115,AY$1=Assumptions!$E$115,AY$1=Assumptions!$F$115),Assumptions!$L$12*Assumptions!$C$102/Assumptions!$C$104,0)</f>
        <v>0</v>
      </c>
      <c r="AZ40" s="132">
        <f>IF(OR(AZ$1=Assumptions!$B$115,AZ$1=Assumptions!$C$115,AZ$1=Assumptions!$D$115,AZ$1=Assumptions!$E$115,AZ$1=Assumptions!$F$115),Assumptions!$L$12*Assumptions!$C$102/Assumptions!$C$104,0)</f>
        <v>0</v>
      </c>
      <c r="BA40" s="132">
        <f>IF(OR(BA$1=Assumptions!$B$115,BA$1=Assumptions!$C$115,BA$1=Assumptions!$D$115,BA$1=Assumptions!$E$115,BA$1=Assumptions!$F$115),Assumptions!$L$12*Assumptions!$C$102/Assumptions!$C$104,0)</f>
        <v>0</v>
      </c>
      <c r="BB40" s="132">
        <f>IF(OR(BB$1=Assumptions!$B$115,BB$1=Assumptions!$C$115,BB$1=Assumptions!$D$115,BB$1=Assumptions!$E$115,BB$1=Assumptions!$F$115),Assumptions!$L$12*Assumptions!$C$102/Assumptions!$C$104,0)</f>
        <v>0</v>
      </c>
      <c r="BC40" s="132">
        <f>IF(OR(BC$1=Assumptions!$B$115,BC$1=Assumptions!$C$115,BC$1=Assumptions!$D$115,BC$1=Assumptions!$E$115,BC$1=Assumptions!$F$115),Assumptions!$L$12*Assumptions!$C$102/Assumptions!$C$104,0)</f>
        <v>0</v>
      </c>
      <c r="BD40" s="132">
        <f>IF(OR(BD$1=Assumptions!$B$115,BD$1=Assumptions!$C$115,BD$1=Assumptions!$D$115,BD$1=Assumptions!$E$115,BD$1=Assumptions!$F$115),Assumptions!$L$12*Assumptions!$C$102/Assumptions!$C$104,0)</f>
        <v>0</v>
      </c>
      <c r="BE40" s="132">
        <f>IF(OR(BE$1=Assumptions!$B$115,BE$1=Assumptions!$C$115,BE$1=Assumptions!$D$115,BE$1=Assumptions!$E$115,BE$1=Assumptions!$F$115),Assumptions!$L$12*Assumptions!$C$102/Assumptions!$C$104,0)</f>
        <v>0</v>
      </c>
      <c r="BF40" s="132">
        <f>IF(OR(BF$1=Assumptions!$B$115,BF$1=Assumptions!$C$115,BF$1=Assumptions!$D$115,BF$1=Assumptions!$E$115,BF$1=Assumptions!$F$115),Assumptions!$L$12*Assumptions!$C$102/Assumptions!$C$104,0)</f>
        <v>0</v>
      </c>
      <c r="BG40" s="132">
        <f>IF(OR(BG$1=Assumptions!$B$115,BG$1=Assumptions!$C$115,BG$1=Assumptions!$D$115,BG$1=Assumptions!$E$115,BG$1=Assumptions!$F$115),Assumptions!$L$12*Assumptions!$C$102/Assumptions!$C$104,0)</f>
        <v>0</v>
      </c>
      <c r="BH40" s="132">
        <f>IF(OR(BH$1=Assumptions!$B$115,BH$1=Assumptions!$C$115,BH$1=Assumptions!$D$115,BH$1=Assumptions!$E$115,BH$1=Assumptions!$F$115),Assumptions!$L$12*Assumptions!$C$102/Assumptions!$C$104,0)</f>
        <v>0</v>
      </c>
      <c r="BI40" s="132">
        <f>IF(OR(BI$1=Assumptions!$B$115,BI$1=Assumptions!$C$115,BI$1=Assumptions!$D$115,BI$1=Assumptions!$E$115,BI$1=Assumptions!$F$115),Assumptions!$L$12*Assumptions!$C$102/Assumptions!$C$104,0)</f>
        <v>0</v>
      </c>
      <c r="BJ40" s="132">
        <f>IF(OR(BJ$1=Assumptions!$B$115,BJ$1=Assumptions!$C$115,BJ$1=Assumptions!$D$115,BJ$1=Assumptions!$E$115,BJ$1=Assumptions!$F$115),Assumptions!$L$12*Assumptions!$C$102/Assumptions!$C$104,0)</f>
        <v>0</v>
      </c>
      <c r="BK40" s="132">
        <f>IF(OR(BK$1=Assumptions!$B$115,BK$1=Assumptions!$C$115,BK$1=Assumptions!$D$115,BK$1=Assumptions!$E$115,BK$1=Assumptions!$F$115),Assumptions!$L$12*Assumptions!$C$102/Assumptions!$C$104,0)</f>
        <v>0</v>
      </c>
      <c r="BL40" s="132">
        <f>IF(OR(BL$1=Assumptions!$B$115,BL$1=Assumptions!$C$115,BL$1=Assumptions!$D$115,BL$1=Assumptions!$E$115,BL$1=Assumptions!$F$115),Assumptions!$L$12*Assumptions!$C$102/Assumptions!$C$104,0)</f>
        <v>0</v>
      </c>
      <c r="BM40" s="132">
        <f>IF(OR(BM$1=Assumptions!$B$115,BM$1=Assumptions!$C$115,BM$1=Assumptions!$D$115,BM$1=Assumptions!$E$115,BM$1=Assumptions!$F$115),Assumptions!$L$12*Assumptions!$C$102/Assumptions!$C$104,0)</f>
        <v>0</v>
      </c>
      <c r="BN40" s="132">
        <f>IF(OR(BN$1=Assumptions!$B$115,BN$1=Assumptions!$C$115,BN$1=Assumptions!$D$115,BN$1=Assumptions!$E$115,BN$1=Assumptions!$F$115),Assumptions!$L$12*Assumptions!$C$102/Assumptions!$C$104,0)</f>
        <v>0</v>
      </c>
      <c r="BO40" s="132">
        <f>IF(OR(BO$1=Assumptions!$B$115,BO$1=Assumptions!$C$115,BO$1=Assumptions!$D$115,BO$1=Assumptions!$E$115,BO$1=Assumptions!$F$115),Assumptions!$L$12*Assumptions!$C$102/Assumptions!$C$104,0)</f>
        <v>0</v>
      </c>
      <c r="BP40" s="132">
        <f>IF(OR(BP$1=Assumptions!$B$115,BP$1=Assumptions!$C$115,BP$1=Assumptions!$D$115,BP$1=Assumptions!$E$115,BP$1=Assumptions!$F$115),Assumptions!$L$12*Assumptions!$C$102/Assumptions!$C$104,0)</f>
        <v>0</v>
      </c>
      <c r="BQ40" s="132">
        <f>IF(OR(BQ$1=Assumptions!$B$115,BQ$1=Assumptions!$C$115,BQ$1=Assumptions!$D$115,BQ$1=Assumptions!$E$115,BQ$1=Assumptions!$F$115),Assumptions!$L$12*Assumptions!$C$102/Assumptions!$C$104,0)</f>
        <v>0</v>
      </c>
      <c r="BR40" s="132">
        <f>IF(OR(BR$1=Assumptions!$B$115,BR$1=Assumptions!$C$115,BR$1=Assumptions!$D$115,BR$1=Assumptions!$E$115,BR$1=Assumptions!$F$115),Assumptions!$L$12*Assumptions!$C$102/Assumptions!$C$104,0)</f>
        <v>0</v>
      </c>
      <c r="BS40" s="132">
        <f>IF(OR(BS$1=Assumptions!$B$115,BS$1=Assumptions!$C$115,BS$1=Assumptions!$D$115,BS$1=Assumptions!$E$115,BS$1=Assumptions!$F$115),Assumptions!$L$12*Assumptions!$C$102/Assumptions!$C$104,0)</f>
        <v>0</v>
      </c>
      <c r="BT40" s="132">
        <f>IF(OR(BT$1=Assumptions!$B$115,BT$1=Assumptions!$C$115,BT$1=Assumptions!$D$115,BT$1=Assumptions!$E$115,BT$1=Assumptions!$F$115),Assumptions!$L$12*Assumptions!$C$102/Assumptions!$C$104,0)</f>
        <v>0</v>
      </c>
      <c r="BU40" s="132">
        <f>IF(OR(BU$1=Assumptions!$B$115,BU$1=Assumptions!$C$115,BU$1=Assumptions!$D$115,BU$1=Assumptions!$E$115,BU$1=Assumptions!$F$115),Assumptions!$L$12*Assumptions!$C$102/Assumptions!$C$104,0)</f>
        <v>0</v>
      </c>
      <c r="BV40" s="132">
        <f>IF(OR(BV$1=Assumptions!$B$115,BV$1=Assumptions!$C$115,BV$1=Assumptions!$D$115,BV$1=Assumptions!$E$115,BV$1=Assumptions!$F$115),Assumptions!$L$12*Assumptions!$C$102/Assumptions!$C$104,0)</f>
        <v>0</v>
      </c>
      <c r="BW40" s="132">
        <f>IF(OR(BW$1=Assumptions!$B$115,BW$1=Assumptions!$C$115,BW$1=Assumptions!$D$115,BW$1=Assumptions!$E$115,BW$1=Assumptions!$F$115),Assumptions!$L$12*Assumptions!$C$102/Assumptions!$C$104,0)</f>
        <v>0</v>
      </c>
      <c r="BX40" s="132">
        <f>IF(OR(BX$1=Assumptions!$B$115,BX$1=Assumptions!$C$115,BX$1=Assumptions!$D$115,BX$1=Assumptions!$E$115,BX$1=Assumptions!$F$115),Assumptions!$L$12*Assumptions!$C$102/Assumptions!$C$104,0)</f>
        <v>0</v>
      </c>
      <c r="BY40" s="132">
        <f>IF(OR(BY$1=Assumptions!$B$115,BY$1=Assumptions!$C$115,BY$1=Assumptions!$D$115,BY$1=Assumptions!$E$115,BY$1=Assumptions!$F$115),Assumptions!$L$12*Assumptions!$C$102/Assumptions!$C$104,0)</f>
        <v>0</v>
      </c>
      <c r="BZ40" s="132">
        <f>IF(OR(BZ$1=Assumptions!$B$115,BZ$1=Assumptions!$C$115,BZ$1=Assumptions!$D$115,BZ$1=Assumptions!$E$115,BZ$1=Assumptions!$F$115),Assumptions!$L$12*Assumptions!$C$102/Assumptions!$C$104,0)</f>
        <v>0</v>
      </c>
      <c r="CA40" s="132">
        <f>IF(OR(CA$1=Assumptions!$B$115,CA$1=Assumptions!$C$115,CA$1=Assumptions!$D$115,CA$1=Assumptions!$E$115,CA$1=Assumptions!$F$115),Assumptions!$L$12*Assumptions!$C$102/Assumptions!$C$104,0)</f>
        <v>0</v>
      </c>
      <c r="CB40" s="132">
        <f>IF(OR(CB$1=Assumptions!$B$115,CB$1=Assumptions!$C$115,CB$1=Assumptions!$D$115,CB$1=Assumptions!$E$115,CB$1=Assumptions!$F$115),Assumptions!$L$12*Assumptions!$C$102/Assumptions!$C$104,0)</f>
        <v>0</v>
      </c>
      <c r="CC40" s="132">
        <f>IF(OR(CC$1=Assumptions!$B$115,CC$1=Assumptions!$C$115,CC$1=Assumptions!$D$115,CC$1=Assumptions!$E$115,CC$1=Assumptions!$F$115),Assumptions!$L$12*Assumptions!$C$102/Assumptions!$C$104,0)</f>
        <v>0</v>
      </c>
      <c r="CD40" s="132">
        <f>IF(OR(CD$1=Assumptions!$B$115,CD$1=Assumptions!$C$115,CD$1=Assumptions!$D$115,CD$1=Assumptions!$E$115,CD$1=Assumptions!$F$115),Assumptions!$L$12*Assumptions!$C$102/Assumptions!$C$104,0)</f>
        <v>0</v>
      </c>
      <c r="CE40" s="132">
        <f>IF(OR(CE$1=Assumptions!$B$115,CE$1=Assumptions!$C$115,CE$1=Assumptions!$D$115,CE$1=Assumptions!$E$115,CE$1=Assumptions!$F$115),Assumptions!$L$12*Assumptions!$C$102/Assumptions!$C$104,0)</f>
        <v>0</v>
      </c>
      <c r="CF40" s="132">
        <f>IF(OR(CF$1=Assumptions!$B$115,CF$1=Assumptions!$C$115,CF$1=Assumptions!$D$115,CF$1=Assumptions!$E$115,CF$1=Assumptions!$F$115),Assumptions!$L$12*Assumptions!$C$102/Assumptions!$C$104,0)</f>
        <v>0</v>
      </c>
      <c r="CG40" s="132">
        <f>IF(OR(CG$1=Assumptions!$B$115,CG$1=Assumptions!$C$115,CG$1=Assumptions!$D$115,CG$1=Assumptions!$E$115,CG$1=Assumptions!$F$115),Assumptions!$L$12*Assumptions!$C$102/Assumptions!$C$104,0)</f>
        <v>0</v>
      </c>
      <c r="CH40" s="132">
        <f>IF(OR(CH$1=Assumptions!$B$115,CH$1=Assumptions!$C$115,CH$1=Assumptions!$D$115,CH$1=Assumptions!$E$115,CH$1=Assumptions!$F$115),Assumptions!$L$12*Assumptions!$C$102/Assumptions!$C$104,0)</f>
        <v>0</v>
      </c>
      <c r="CI40" s="132">
        <f>IF(OR(CI$1=Assumptions!$B$115,CI$1=Assumptions!$C$115,CI$1=Assumptions!$D$115,CI$1=Assumptions!$E$115,CI$1=Assumptions!$F$115),Assumptions!$L$12*Assumptions!$C$102/Assumptions!$C$104,0)</f>
        <v>0</v>
      </c>
      <c r="CJ40" s="132">
        <f>IF(OR(CJ$1=Assumptions!$B$115,CJ$1=Assumptions!$C$115,CJ$1=Assumptions!$D$115,CJ$1=Assumptions!$E$115,CJ$1=Assumptions!$F$115),Assumptions!$L$12*Assumptions!$C$102/Assumptions!$C$104,0)</f>
        <v>0</v>
      </c>
      <c r="CK40" s="132">
        <f>IF(OR(CK$1=Assumptions!$B$115,CK$1=Assumptions!$C$115,CK$1=Assumptions!$D$115,CK$1=Assumptions!$E$115,CK$1=Assumptions!$F$115),Assumptions!$L$12*Assumptions!$C$102/Assumptions!$C$104,0)</f>
        <v>0</v>
      </c>
      <c r="CL40" s="132">
        <f>IF(OR(CL$1=Assumptions!$B$115,CL$1=Assumptions!$C$115,CL$1=Assumptions!$D$115,CL$1=Assumptions!$E$115,CL$1=Assumptions!$F$115),Assumptions!$L$12*Assumptions!$C$102/Assumptions!$C$104,0)</f>
        <v>0</v>
      </c>
      <c r="CM40" s="132">
        <f>IF(OR(CM$1=Assumptions!$B$115,CM$1=Assumptions!$C$115,CM$1=Assumptions!$D$115,CM$1=Assumptions!$E$115,CM$1=Assumptions!$F$115),Assumptions!$L$12*Assumptions!$C$102/Assumptions!$C$104,0)</f>
        <v>0</v>
      </c>
      <c r="CN40" s="132">
        <f>IF(OR(CN$1=Assumptions!$B$115,CN$1=Assumptions!$C$115,CN$1=Assumptions!$D$115,CN$1=Assumptions!$E$115,CN$1=Assumptions!$F$115),Assumptions!$L$12*Assumptions!$C$102/Assumptions!$C$104,0)</f>
        <v>0</v>
      </c>
      <c r="CO40" s="132">
        <f>IF(OR(CO$1=Assumptions!$B$115,CO$1=Assumptions!$C$115,CO$1=Assumptions!$D$115,CO$1=Assumptions!$E$115,CO$1=Assumptions!$F$115),Assumptions!$L$12*Assumptions!$C$102/Assumptions!$C$104,0)</f>
        <v>0</v>
      </c>
      <c r="CP40" s="132">
        <f>IF(OR(CP$1=Assumptions!$B$115,CP$1=Assumptions!$C$115,CP$1=Assumptions!$D$115,CP$1=Assumptions!$E$115,CP$1=Assumptions!$F$115),Assumptions!$L$12*Assumptions!$C$102/Assumptions!$C$104,0)</f>
        <v>0</v>
      </c>
      <c r="CQ40" s="132">
        <f>IF(OR(CQ$1=Assumptions!$B$115,CQ$1=Assumptions!$C$115,CQ$1=Assumptions!$D$115,CQ$1=Assumptions!$E$115,CQ$1=Assumptions!$F$115),Assumptions!$L$12*Assumptions!$C$102/Assumptions!$C$104,0)</f>
        <v>0</v>
      </c>
      <c r="CR40" s="132">
        <f>IF(OR(CR$1=Assumptions!$B$115,CR$1=Assumptions!$C$115,CR$1=Assumptions!$D$115,CR$1=Assumptions!$E$115,CR$1=Assumptions!$F$115),Assumptions!$L$12*Assumptions!$C$102/Assumptions!$C$104,0)</f>
        <v>0</v>
      </c>
      <c r="CS40" s="132">
        <f>IF(OR(CS$1=Assumptions!$B$115,CS$1=Assumptions!$C$115,CS$1=Assumptions!$D$115,CS$1=Assumptions!$E$115,CS$1=Assumptions!$F$115),Assumptions!$L$12*Assumptions!$C$102/Assumptions!$C$104,0)</f>
        <v>0</v>
      </c>
      <c r="CT40" s="132">
        <f>IF(OR(CT$1=Assumptions!$B$115,CT$1=Assumptions!$C$115,CT$1=Assumptions!$D$115,CT$1=Assumptions!$E$115,CT$1=Assumptions!$F$115),Assumptions!$L$12*Assumptions!$C$102/Assumptions!$C$104,0)</f>
        <v>0</v>
      </c>
      <c r="CU40" s="132">
        <f>IF(OR(CU$1=Assumptions!$B$115,CU$1=Assumptions!$C$115,CU$1=Assumptions!$D$115,CU$1=Assumptions!$E$115,CU$1=Assumptions!$F$115),Assumptions!$L$12*Assumptions!$C$102/Assumptions!$C$104,0)</f>
        <v>0</v>
      </c>
      <c r="CV40" s="132">
        <f>IF(OR(CV$1=Assumptions!$B$115,CV$1=Assumptions!$C$115,CV$1=Assumptions!$D$115,CV$1=Assumptions!$E$115,CV$1=Assumptions!$F$115),Assumptions!$L$12*Assumptions!$C$102/Assumptions!$C$104,0)</f>
        <v>0</v>
      </c>
      <c r="CW40" s="132">
        <f>IF(OR(CW$1=Assumptions!$B$115,CW$1=Assumptions!$C$115,CW$1=Assumptions!$D$115,CW$1=Assumptions!$E$115,CW$1=Assumptions!$F$115),Assumptions!$L$12*Assumptions!$C$102/Assumptions!$C$104,0)</f>
        <v>0</v>
      </c>
      <c r="CX40" s="132">
        <f>IF(OR(CX$1=Assumptions!$B$115,CX$1=Assumptions!$C$115,CX$1=Assumptions!$D$115,CX$1=Assumptions!$E$115,CX$1=Assumptions!$F$115),Assumptions!$L$12*Assumptions!$C$102/Assumptions!$C$104,0)</f>
        <v>0</v>
      </c>
      <c r="CY40" s="132">
        <f>IF(OR(CY$1=Assumptions!$B$115,CY$1=Assumptions!$C$115,CY$1=Assumptions!$D$115,CY$1=Assumptions!$E$115,CY$1=Assumptions!$F$115),Assumptions!$L$12*Assumptions!$C$102/Assumptions!$C$104,0)</f>
        <v>0</v>
      </c>
      <c r="CZ40" s="132">
        <f>IF(OR(CZ$1=Assumptions!$B$115,CZ$1=Assumptions!$C$115,CZ$1=Assumptions!$D$115,CZ$1=Assumptions!$E$115,CZ$1=Assumptions!$F$115),Assumptions!$L$12*Assumptions!$C$102/Assumptions!$C$104,0)</f>
        <v>0</v>
      </c>
      <c r="DA40" s="132">
        <f>IF(OR(DA$1=Assumptions!$B$115,DA$1=Assumptions!$C$115,DA$1=Assumptions!$D$115,DA$1=Assumptions!$E$115,DA$1=Assumptions!$F$115),Assumptions!$L$12*Assumptions!$C$102/Assumptions!$C$104,0)</f>
        <v>0</v>
      </c>
      <c r="DB40" s="132">
        <f>IF(OR(DB$1=Assumptions!$B$115,DB$1=Assumptions!$C$115,DB$1=Assumptions!$D$115,DB$1=Assumptions!$E$115,DB$1=Assumptions!$F$115),Assumptions!$L$12*Assumptions!$C$102/Assumptions!$C$104,0)</f>
        <v>0</v>
      </c>
      <c r="DC40" s="132">
        <f>IF(OR(DC$1=Assumptions!$B$115,DC$1=Assumptions!$C$115,DC$1=Assumptions!$D$115,DC$1=Assumptions!$E$115,DC$1=Assumptions!$F$115),Assumptions!$L$12*Assumptions!$C$102/Assumptions!$C$104,0)</f>
        <v>0</v>
      </c>
      <c r="DD40" s="132">
        <f>IF(OR(DD$1=Assumptions!$B$115,DD$1=Assumptions!$C$115,DD$1=Assumptions!$D$115,DD$1=Assumptions!$E$115,DD$1=Assumptions!$F$115),Assumptions!$L$12*Assumptions!$C$102/Assumptions!$C$104,0)</f>
        <v>0</v>
      </c>
      <c r="DE40" s="132">
        <f>IF(OR(DE$1=Assumptions!$B$115,DE$1=Assumptions!$C$115,DE$1=Assumptions!$D$115,DE$1=Assumptions!$E$115,DE$1=Assumptions!$F$115),Assumptions!$L$12*Assumptions!$C$102/Assumptions!$C$104,0)</f>
        <v>0</v>
      </c>
      <c r="DF40" s="132">
        <f>IF(OR(DF$1=Assumptions!$B$115,DF$1=Assumptions!$C$115,DF$1=Assumptions!$D$115,DF$1=Assumptions!$E$115,DF$1=Assumptions!$F$115),Assumptions!$L$12*Assumptions!$C$102/Assumptions!$C$104,0)</f>
        <v>0</v>
      </c>
      <c r="DG40" s="132">
        <f>IF(OR(DG$1=Assumptions!$B$115,DG$1=Assumptions!$C$115,DG$1=Assumptions!$D$115,DG$1=Assumptions!$E$115,DG$1=Assumptions!$F$115),Assumptions!$L$12*Assumptions!$C$102/Assumptions!$C$104,0)</f>
        <v>0</v>
      </c>
      <c r="DH40" s="132">
        <f>IF(OR(DH$1=Assumptions!$B$115,DH$1=Assumptions!$C$115,DH$1=Assumptions!$D$115,DH$1=Assumptions!$E$115,DH$1=Assumptions!$F$115),Assumptions!$L$12*Assumptions!$C$102/Assumptions!$C$104,0)</f>
        <v>0</v>
      </c>
      <c r="DI40" s="132">
        <f>IF(OR(DI$1=Assumptions!$B$115,DI$1=Assumptions!$C$115,DI$1=Assumptions!$D$115,DI$1=Assumptions!$E$115,DI$1=Assumptions!$F$115),Assumptions!$L$12*Assumptions!$C$102/Assumptions!$C$104,0)</f>
        <v>0</v>
      </c>
      <c r="DJ40" s="132">
        <f>IF(OR(DJ$1=Assumptions!$B$115,DJ$1=Assumptions!$C$115,DJ$1=Assumptions!$D$115,DJ$1=Assumptions!$E$115,DJ$1=Assumptions!$F$115),Assumptions!$L$12*Assumptions!$C$102/Assumptions!$C$104,0)</f>
        <v>0</v>
      </c>
      <c r="DK40" s="132">
        <f>IF(OR(DK$1=Assumptions!$B$115,DK$1=Assumptions!$C$115,DK$1=Assumptions!$D$115,DK$1=Assumptions!$E$115,DK$1=Assumptions!$F$115),Assumptions!$L$12*Assumptions!$C$102/Assumptions!$C$104,0)</f>
        <v>0</v>
      </c>
      <c r="DL40" s="132">
        <f>IF(OR(DL$1=Assumptions!$B$115,DL$1=Assumptions!$C$115,DL$1=Assumptions!$D$115,DL$1=Assumptions!$E$115,DL$1=Assumptions!$F$115),Assumptions!$L$12*Assumptions!$C$102/Assumptions!$C$104,0)</f>
        <v>0</v>
      </c>
      <c r="DM40" s="132">
        <f>IF(OR(DM$1=Assumptions!$B$115,DM$1=Assumptions!$C$115,DM$1=Assumptions!$D$115,DM$1=Assumptions!$E$115,DM$1=Assumptions!$F$115),Assumptions!$L$12*Assumptions!$C$102/Assumptions!$C$104,0)</f>
        <v>0</v>
      </c>
      <c r="DN40" s="132">
        <f>IF(OR(DN$1=Assumptions!$B$115,DN$1=Assumptions!$C$115,DN$1=Assumptions!$D$115,DN$1=Assumptions!$E$115,DN$1=Assumptions!$F$115),Assumptions!$L$12*Assumptions!$C$102/Assumptions!$C$104,0)</f>
        <v>0</v>
      </c>
      <c r="DO40" s="132">
        <f>IF(OR(DO$1=Assumptions!$B$115,DO$1=Assumptions!$C$115,DO$1=Assumptions!$D$115,DO$1=Assumptions!$E$115,DO$1=Assumptions!$F$115),Assumptions!$L$12*Assumptions!$C$102/Assumptions!$C$104,0)</f>
        <v>0</v>
      </c>
      <c r="DP40" s="132">
        <f>IF(OR(DP$1=Assumptions!$B$115,DP$1=Assumptions!$C$115,DP$1=Assumptions!$D$115,DP$1=Assumptions!$E$115,DP$1=Assumptions!$F$115),Assumptions!$L$12*Assumptions!$C$102/Assumptions!$C$104,0)</f>
        <v>0</v>
      </c>
      <c r="DQ40" s="132">
        <f>IF(OR(DQ$1=Assumptions!$B$115,DQ$1=Assumptions!$C$115,DQ$1=Assumptions!$D$115,DQ$1=Assumptions!$E$115,DQ$1=Assumptions!$F$115),Assumptions!$L$12*Assumptions!$C$102/Assumptions!$C$104,0)</f>
        <v>0</v>
      </c>
      <c r="DR40" s="132">
        <f>IF(OR(DR$1=Assumptions!$B$115,DR$1=Assumptions!$C$115,DR$1=Assumptions!$D$115,DR$1=Assumptions!$E$115,DR$1=Assumptions!$F$115),Assumptions!$L$12*Assumptions!$C$102/Assumptions!$C$104,0)</f>
        <v>0</v>
      </c>
      <c r="DS40" s="132">
        <f>IF(OR(DS$1=Assumptions!$B$115,DS$1=Assumptions!$C$115,DS$1=Assumptions!$D$115,DS$1=Assumptions!$E$115,DS$1=Assumptions!$F$115),Assumptions!$L$12*Assumptions!$C$102/Assumptions!$C$104,0)</f>
        <v>0</v>
      </c>
      <c r="DT40" s="132">
        <f>IF(OR(DT$1=Assumptions!$B$115,DT$1=Assumptions!$C$115,DT$1=Assumptions!$D$115,DT$1=Assumptions!$E$115,DT$1=Assumptions!$F$115),Assumptions!$L$12*Assumptions!$C$102/Assumptions!$C$104,0)</f>
        <v>0</v>
      </c>
      <c r="DU40" s="132">
        <f>IF(OR(DU$1=Assumptions!$B$115,DU$1=Assumptions!$C$115,DU$1=Assumptions!$D$115,DU$1=Assumptions!$E$115,DU$1=Assumptions!$F$115),Assumptions!$L$12*Assumptions!$C$102/Assumptions!$C$104,0)</f>
        <v>0</v>
      </c>
      <c r="DV40" s="132">
        <f>IF(OR(DV$1=Assumptions!$B$115,DV$1=Assumptions!$C$115,DV$1=Assumptions!$D$115,DV$1=Assumptions!$E$115,DV$1=Assumptions!$F$115),Assumptions!$L$12*Assumptions!$C$102/Assumptions!$C$104,0)</f>
        <v>0</v>
      </c>
      <c r="DW40" s="132">
        <f>IF(OR(DW$1=Assumptions!$B$115,DW$1=Assumptions!$C$115,DW$1=Assumptions!$D$115,DW$1=Assumptions!$E$115,DW$1=Assumptions!$F$115),Assumptions!$L$12*Assumptions!$C$102/Assumptions!$C$104,0)</f>
        <v>0</v>
      </c>
      <c r="DX40" s="132">
        <f>IF(OR(DX$1=Assumptions!$B$115,DX$1=Assumptions!$C$115,DX$1=Assumptions!$D$115,DX$1=Assumptions!$E$115,DX$1=Assumptions!$F$115),Assumptions!$L$12*Assumptions!$C$102/Assumptions!$C$104,0)</f>
        <v>0</v>
      </c>
      <c r="DY40" s="132">
        <f>IF(OR(DY$1=Assumptions!$B$115,DY$1=Assumptions!$C$115,DY$1=Assumptions!$D$115,DY$1=Assumptions!$E$115,DY$1=Assumptions!$F$115),Assumptions!$L$12*Assumptions!$C$102/Assumptions!$C$104,0)</f>
        <v>0</v>
      </c>
      <c r="DZ40" s="132">
        <f>IF(OR(DZ$1=Assumptions!$B$115,DZ$1=Assumptions!$C$115,DZ$1=Assumptions!$D$115,DZ$1=Assumptions!$E$115,DZ$1=Assumptions!$F$115),Assumptions!$L$12*Assumptions!$C$102/Assumptions!$C$104,0)</f>
        <v>0</v>
      </c>
      <c r="EA40" s="132">
        <f>IF(OR(EA$1=Assumptions!$B$115,EA$1=Assumptions!$C$115,EA$1=Assumptions!$D$115,EA$1=Assumptions!$E$115,EA$1=Assumptions!$F$115),Assumptions!$L$12*Assumptions!$C$102/Assumptions!$C$104,0)</f>
        <v>0</v>
      </c>
      <c r="EB40" s="132">
        <f>IF(OR(EB$1=Assumptions!$B$115,EB$1=Assumptions!$C$115,EB$1=Assumptions!$D$115,EB$1=Assumptions!$E$115,EB$1=Assumptions!$F$115),Assumptions!$L$12*Assumptions!$C$102/Assumptions!$C$104,0)</f>
        <v>0</v>
      </c>
      <c r="EC40" s="132">
        <f>IF(OR(EC$1=Assumptions!$B$115,EC$1=Assumptions!$C$115,EC$1=Assumptions!$D$115,EC$1=Assumptions!$E$115,EC$1=Assumptions!$F$115),Assumptions!$L$12*Assumptions!$C$102/Assumptions!$C$104,0)</f>
        <v>0</v>
      </c>
      <c r="ED40" s="132">
        <f>IF(OR(ED$1=Assumptions!$B$115,ED$1=Assumptions!$C$115,ED$1=Assumptions!$D$115,ED$1=Assumptions!$E$115,ED$1=Assumptions!$F$115),Assumptions!$L$12*Assumptions!$C$102/Assumptions!$C$104,0)</f>
        <v>0</v>
      </c>
      <c r="EE40" s="132">
        <f>IF(OR(EE$1=Assumptions!$B$115,EE$1=Assumptions!$C$115,EE$1=Assumptions!$D$115,EE$1=Assumptions!$E$115,EE$1=Assumptions!$F$115),Assumptions!$L$12*Assumptions!$C$102/Assumptions!$C$104,0)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9" t="s">
        <v>85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171</v>
      </c>
      <c r="D43" s="54">
        <f>Assumptions!P42</f>
        <v>13759346.8</v>
      </c>
      <c r="E43" s="54">
        <f t="shared" ref="E43:EE43" si="7">D47</f>
        <v>13759346.8</v>
      </c>
      <c r="F43" s="54">
        <f t="shared" si="7"/>
        <v>13759346.8</v>
      </c>
      <c r="G43" s="54">
        <f t="shared" si="7"/>
        <v>13759346.8</v>
      </c>
      <c r="H43" s="54">
        <f t="shared" si="7"/>
        <v>13759346.8</v>
      </c>
      <c r="I43" s="54">
        <f t="shared" si="7"/>
        <v>13759346.8</v>
      </c>
      <c r="J43" s="54">
        <f t="shared" si="7"/>
        <v>13759346.8</v>
      </c>
      <c r="K43" s="54">
        <f t="shared" si="7"/>
        <v>13759346.8</v>
      </c>
      <c r="L43" s="54">
        <f t="shared" si="7"/>
        <v>13759346.8</v>
      </c>
      <c r="M43" s="54">
        <f t="shared" si="7"/>
        <v>13759346.8</v>
      </c>
      <c r="N43" s="54">
        <f t="shared" si="7"/>
        <v>13759346.8</v>
      </c>
      <c r="O43" s="54">
        <f t="shared" si="7"/>
        <v>13759346.8</v>
      </c>
      <c r="P43" s="54">
        <f t="shared" si="7"/>
        <v>13759346.8</v>
      </c>
      <c r="Q43" s="54">
        <f t="shared" si="7"/>
        <v>13759346.8</v>
      </c>
      <c r="R43" s="54">
        <f t="shared" si="7"/>
        <v>13759346.8</v>
      </c>
      <c r="S43" s="54">
        <f t="shared" si="7"/>
        <v>13759346.8</v>
      </c>
      <c r="T43" s="54">
        <f t="shared" si="7"/>
        <v>13759346.8</v>
      </c>
      <c r="U43" s="54">
        <f t="shared" si="7"/>
        <v>13759346.8</v>
      </c>
      <c r="V43" s="54">
        <f t="shared" si="7"/>
        <v>13759346.8</v>
      </c>
      <c r="W43" s="54">
        <f t="shared" si="7"/>
        <v>13759346.8</v>
      </c>
      <c r="X43" s="54">
        <f t="shared" si="7"/>
        <v>13759346.8</v>
      </c>
      <c r="Y43" s="54">
        <f t="shared" si="7"/>
        <v>13759346.8</v>
      </c>
      <c r="Z43" s="54">
        <f t="shared" si="7"/>
        <v>13759346.8</v>
      </c>
      <c r="AA43" s="54">
        <f t="shared" si="7"/>
        <v>13759346.8</v>
      </c>
      <c r="AB43" s="54">
        <f t="shared" si="7"/>
        <v>13759346.8</v>
      </c>
      <c r="AC43" s="54">
        <f t="shared" si="7"/>
        <v>13759346.8</v>
      </c>
      <c r="AD43" s="54">
        <f t="shared" si="7"/>
        <v>13759346.8</v>
      </c>
      <c r="AE43" s="54">
        <f t="shared" si="7"/>
        <v>13759346.8</v>
      </c>
      <c r="AF43" s="54">
        <f t="shared" si="7"/>
        <v>13759346.8</v>
      </c>
      <c r="AG43" s="54">
        <f t="shared" si="7"/>
        <v>13759346.8</v>
      </c>
      <c r="AH43" s="54">
        <f t="shared" si="7"/>
        <v>13759346.8</v>
      </c>
      <c r="AI43" s="54">
        <f t="shared" si="7"/>
        <v>13759346.8</v>
      </c>
      <c r="AJ43" s="54">
        <f t="shared" si="7"/>
        <v>13759346.8</v>
      </c>
      <c r="AK43" s="54">
        <f t="shared" si="7"/>
        <v>13759346.8</v>
      </c>
      <c r="AL43" s="54">
        <f t="shared" si="7"/>
        <v>13759346.8</v>
      </c>
      <c r="AM43" s="54">
        <f t="shared" si="7"/>
        <v>13759346.8</v>
      </c>
      <c r="AN43" s="54">
        <f t="shared" si="7"/>
        <v>13759346.8</v>
      </c>
      <c r="AO43" s="54">
        <f t="shared" si="7"/>
        <v>13744789.37</v>
      </c>
      <c r="AP43" s="54">
        <f t="shared" si="7"/>
        <v>13730163.03</v>
      </c>
      <c r="AQ43" s="54">
        <f t="shared" si="7"/>
        <v>13715467.47</v>
      </c>
      <c r="AR43" s="54">
        <f t="shared" si="7"/>
        <v>13700702.34</v>
      </c>
      <c r="AS43" s="54">
        <f t="shared" si="7"/>
        <v>13685867.33</v>
      </c>
      <c r="AT43" s="54">
        <f t="shared" si="7"/>
        <v>13670962.09</v>
      </c>
      <c r="AU43" s="54">
        <f t="shared" si="7"/>
        <v>13655986.31</v>
      </c>
      <c r="AV43" s="54">
        <f t="shared" si="7"/>
        <v>13640939.64</v>
      </c>
      <c r="AW43" s="54">
        <f t="shared" si="7"/>
        <v>13625821.75</v>
      </c>
      <c r="AX43" s="54">
        <f t="shared" si="7"/>
        <v>13610632.3</v>
      </c>
      <c r="AY43" s="54">
        <f t="shared" si="7"/>
        <v>13595370.95</v>
      </c>
      <c r="AZ43" s="54">
        <f t="shared" si="7"/>
        <v>13580037.37</v>
      </c>
      <c r="BA43" s="54">
        <f t="shared" si="7"/>
        <v>13564631.21</v>
      </c>
      <c r="BB43" s="54">
        <f t="shared" si="7"/>
        <v>13549152.12</v>
      </c>
      <c r="BC43" s="54">
        <f t="shared" si="7"/>
        <v>13533599.77</v>
      </c>
      <c r="BD43" s="54">
        <f t="shared" si="7"/>
        <v>13517973.8</v>
      </c>
      <c r="BE43" s="54">
        <f t="shared" si="7"/>
        <v>13502273.88</v>
      </c>
      <c r="BF43" s="54">
        <f t="shared" si="7"/>
        <v>13486499.63</v>
      </c>
      <c r="BG43" s="54">
        <f t="shared" si="7"/>
        <v>13470650.73</v>
      </c>
      <c r="BH43" s="54">
        <f t="shared" si="7"/>
        <v>13454726.8</v>
      </c>
      <c r="BI43" s="54">
        <f t="shared" si="7"/>
        <v>13438727.5</v>
      </c>
      <c r="BJ43" s="54">
        <f t="shared" si="7"/>
        <v>13422652.47</v>
      </c>
      <c r="BK43" s="54">
        <f t="shared" si="7"/>
        <v>13406501.36</v>
      </c>
      <c r="BL43" s="54">
        <f t="shared" si="7"/>
        <v>13390273.79</v>
      </c>
      <c r="BM43" s="54">
        <f t="shared" si="7"/>
        <v>13373969.42</v>
      </c>
      <c r="BN43" s="54">
        <f t="shared" si="7"/>
        <v>13357587.87</v>
      </c>
      <c r="BO43" s="54">
        <f t="shared" si="7"/>
        <v>13341128.78</v>
      </c>
      <c r="BP43" s="54">
        <f t="shared" si="7"/>
        <v>13324591.78</v>
      </c>
      <c r="BQ43" s="54">
        <f t="shared" si="7"/>
        <v>13307976.51</v>
      </c>
      <c r="BR43" s="54">
        <f t="shared" si="7"/>
        <v>13291282.59</v>
      </c>
      <c r="BS43" s="54">
        <f t="shared" si="7"/>
        <v>13274509.66</v>
      </c>
      <c r="BT43" s="54">
        <f t="shared" si="7"/>
        <v>13257657.33</v>
      </c>
      <c r="BU43" s="54">
        <f t="shared" si="7"/>
        <v>13240725.24</v>
      </c>
      <c r="BV43" s="54">
        <f t="shared" si="7"/>
        <v>13223713</v>
      </c>
      <c r="BW43" s="54">
        <f t="shared" si="7"/>
        <v>13206620.23</v>
      </c>
      <c r="BX43" s="54">
        <f t="shared" si="7"/>
        <v>13189446.57</v>
      </c>
      <c r="BY43" s="54">
        <f t="shared" si="7"/>
        <v>13172191.61</v>
      </c>
      <c r="BZ43" s="54">
        <f t="shared" si="7"/>
        <v>13154854.98</v>
      </c>
      <c r="CA43" s="54">
        <f t="shared" si="7"/>
        <v>13137436.28</v>
      </c>
      <c r="CB43" s="54">
        <f t="shared" si="7"/>
        <v>13119935.14</v>
      </c>
      <c r="CC43" s="54">
        <f t="shared" si="7"/>
        <v>13102351.16</v>
      </c>
      <c r="CD43" s="54">
        <f t="shared" si="7"/>
        <v>13084683.95</v>
      </c>
      <c r="CE43" s="54">
        <f t="shared" si="7"/>
        <v>13066933.12</v>
      </c>
      <c r="CF43" s="54">
        <f t="shared" si="7"/>
        <v>13049098.26</v>
      </c>
      <c r="CG43" s="54">
        <f t="shared" si="7"/>
        <v>13031178.99</v>
      </c>
      <c r="CH43" s="54">
        <f t="shared" si="7"/>
        <v>13013174.9</v>
      </c>
      <c r="CI43" s="54">
        <f t="shared" si="7"/>
        <v>12995085.59</v>
      </c>
      <c r="CJ43" s="54">
        <f t="shared" si="7"/>
        <v>12976910.66</v>
      </c>
      <c r="CK43" s="54">
        <f t="shared" si="7"/>
        <v>12958649.69</v>
      </c>
      <c r="CL43" s="54">
        <f t="shared" si="7"/>
        <v>12940302.3</v>
      </c>
      <c r="CM43" s="54">
        <f t="shared" si="7"/>
        <v>12921868.06</v>
      </c>
      <c r="CN43" s="54">
        <f t="shared" si="7"/>
        <v>12903346.56</v>
      </c>
      <c r="CO43" s="54">
        <f t="shared" si="7"/>
        <v>12884737.39</v>
      </c>
      <c r="CP43" s="54">
        <f t="shared" si="7"/>
        <v>12866040.15</v>
      </c>
      <c r="CQ43" s="54">
        <f t="shared" si="7"/>
        <v>12847254.4</v>
      </c>
      <c r="CR43" s="54">
        <f t="shared" si="7"/>
        <v>12828379.73</v>
      </c>
      <c r="CS43" s="54">
        <f t="shared" si="7"/>
        <v>12809415.72</v>
      </c>
      <c r="CT43" s="54">
        <f t="shared" si="7"/>
        <v>12790361.95</v>
      </c>
      <c r="CU43" s="54">
        <f t="shared" si="7"/>
        <v>12771217.99</v>
      </c>
      <c r="CV43" s="54">
        <f t="shared" si="7"/>
        <v>12751983.42</v>
      </c>
      <c r="CW43" s="54">
        <f t="shared" si="7"/>
        <v>12732657.8</v>
      </c>
      <c r="CX43" s="54">
        <f t="shared" si="7"/>
        <v>12713240.71</v>
      </c>
      <c r="CY43" s="54">
        <f t="shared" si="7"/>
        <v>12693731.71</v>
      </c>
      <c r="CZ43" s="54">
        <f t="shared" si="7"/>
        <v>12674130.37</v>
      </c>
      <c r="DA43" s="54">
        <f t="shared" si="7"/>
        <v>12654436.25</v>
      </c>
      <c r="DB43" s="54">
        <f t="shared" si="7"/>
        <v>12634648.91</v>
      </c>
      <c r="DC43" s="54">
        <f t="shared" si="7"/>
        <v>12614767.91</v>
      </c>
      <c r="DD43" s="54">
        <f t="shared" si="7"/>
        <v>12594792.8</v>
      </c>
      <c r="DE43" s="54">
        <f t="shared" si="7"/>
        <v>12574723.15</v>
      </c>
      <c r="DF43" s="54">
        <f t="shared" si="7"/>
        <v>12554558.5</v>
      </c>
      <c r="DG43" s="54">
        <f t="shared" si="7"/>
        <v>12534298.41</v>
      </c>
      <c r="DH43" s="54">
        <f t="shared" si="7"/>
        <v>12513942.41</v>
      </c>
      <c r="DI43" s="54">
        <f t="shared" si="7"/>
        <v>12493490.07</v>
      </c>
      <c r="DJ43" s="54">
        <f t="shared" si="7"/>
        <v>12472940.92</v>
      </c>
      <c r="DK43" s="54">
        <f t="shared" si="7"/>
        <v>12452294.5</v>
      </c>
      <c r="DL43" s="54">
        <f t="shared" si="7"/>
        <v>12431550.35</v>
      </c>
      <c r="DM43" s="54">
        <f t="shared" si="7"/>
        <v>12410708.02</v>
      </c>
      <c r="DN43" s="54">
        <f t="shared" si="7"/>
        <v>12389767.03</v>
      </c>
      <c r="DO43" s="54">
        <f t="shared" si="7"/>
        <v>12368726.92</v>
      </c>
      <c r="DP43" s="54">
        <f t="shared" si="7"/>
        <v>12347587.23</v>
      </c>
      <c r="DQ43" s="54">
        <f t="shared" si="7"/>
        <v>12326347.47</v>
      </c>
      <c r="DR43" s="54">
        <f t="shared" si="7"/>
        <v>12305007.17</v>
      </c>
      <c r="DS43" s="54">
        <f t="shared" si="7"/>
        <v>12283565.87</v>
      </c>
      <c r="DT43" s="54">
        <f t="shared" si="7"/>
        <v>12262023.07</v>
      </c>
      <c r="DU43" s="54">
        <f t="shared" si="7"/>
        <v>12240378.31</v>
      </c>
      <c r="DV43" s="54">
        <f t="shared" si="7"/>
        <v>12218631.1</v>
      </c>
      <c r="DW43" s="54">
        <f t="shared" si="7"/>
        <v>12196780.95</v>
      </c>
      <c r="DX43" s="54">
        <f t="shared" si="7"/>
        <v>12174827.37</v>
      </c>
      <c r="DY43" s="54">
        <f t="shared" si="7"/>
        <v>12152769.88</v>
      </c>
      <c r="DZ43" s="54">
        <f t="shared" si="7"/>
        <v>12130607.99</v>
      </c>
      <c r="EA43" s="54">
        <f t="shared" si="7"/>
        <v>12108341.19</v>
      </c>
      <c r="EB43" s="54">
        <f t="shared" si="7"/>
        <v>12085969</v>
      </c>
      <c r="EC43" s="54">
        <f t="shared" si="7"/>
        <v>12063490.92</v>
      </c>
      <c r="ED43" s="54">
        <f t="shared" si="7"/>
        <v>12040906.44</v>
      </c>
      <c r="EE43" s="54">
        <f t="shared" si="7"/>
        <v>12018215.05</v>
      </c>
    </row>
    <row r="44" ht="15.75" customHeight="1">
      <c r="A44" s="1"/>
      <c r="B44" s="1"/>
      <c r="C44" s="1" t="s">
        <v>172</v>
      </c>
      <c r="D44" s="54">
        <f>(D43*Assumptions!$P44/12)*IF(D1&gt;Assumptions!$P$47,1,0)</f>
        <v>0</v>
      </c>
      <c r="E44" s="54">
        <f>(E43*Assumptions!$P44/12)*IF(E1&gt;Assumptions!$P$47,1,0)</f>
        <v>0</v>
      </c>
      <c r="F44" s="54">
        <f>(F43*Assumptions!$P44/12)*IF(F1&gt;Assumptions!$P$47,1,0)</f>
        <v>0</v>
      </c>
      <c r="G44" s="54">
        <f>(G43*Assumptions!$P44/12)*IF(G1&gt;Assumptions!$P$47,1,0)</f>
        <v>0</v>
      </c>
      <c r="H44" s="54">
        <f>(H43*Assumptions!$P44/12)*IF(H1&gt;Assumptions!$P$47,1,0)</f>
        <v>0</v>
      </c>
      <c r="I44" s="54">
        <f>(I43*Assumptions!$P44/12)*IF(I1&gt;Assumptions!$P$47,1,0)</f>
        <v>0</v>
      </c>
      <c r="J44" s="54">
        <f>(J43*Assumptions!$P44/12)*IF(J1&gt;Assumptions!$P$47,1,0)</f>
        <v>0</v>
      </c>
      <c r="K44" s="54">
        <f>(K43*Assumptions!$P44/12)*IF(K1&gt;Assumptions!$P$47,1,0)</f>
        <v>0</v>
      </c>
      <c r="L44" s="54">
        <f>(L43*Assumptions!$P44/12)*IF(L1&gt;Assumptions!$P$47,1,0)</f>
        <v>0</v>
      </c>
      <c r="M44" s="54">
        <f>(M43*Assumptions!$P44/12)*IF(M1&gt;Assumptions!$P$47,1,0)</f>
        <v>0</v>
      </c>
      <c r="N44" s="54">
        <f>(N43*Assumptions!$P44/12)*IF(N1&gt;Assumptions!$P$47,1,0)</f>
        <v>0</v>
      </c>
      <c r="O44" s="54">
        <f>(O43*Assumptions!$P44/12)*IF(O1&gt;Assumptions!$P$47,1,0)</f>
        <v>0</v>
      </c>
      <c r="P44" s="54">
        <f>(P43*Assumptions!$P44/12)*IF(P1&gt;Assumptions!$P$47,1,0)</f>
        <v>0</v>
      </c>
      <c r="Q44" s="54">
        <f>(Q43*Assumptions!$P44/12)*IF(Q1&gt;Assumptions!$P$47,1,0)</f>
        <v>0</v>
      </c>
      <c r="R44" s="54">
        <f>(R43*Assumptions!$P44/12)*IF(R1&gt;Assumptions!$P$47,1,0)</f>
        <v>0</v>
      </c>
      <c r="S44" s="54">
        <f>(S43*Assumptions!$P44/12)*IF(S1&gt;Assumptions!$P$47,1,0)</f>
        <v>0</v>
      </c>
      <c r="T44" s="54">
        <f>(T43*Assumptions!$P44/12)*IF(T1&gt;Assumptions!$P$47,1,0)</f>
        <v>0</v>
      </c>
      <c r="U44" s="54">
        <f>(U43*Assumptions!$P44/12)*IF(U1&gt;Assumptions!$P$47,1,0)</f>
        <v>0</v>
      </c>
      <c r="V44" s="54">
        <f>(V43*Assumptions!$P44/12)*IF(V1&gt;Assumptions!$P$47,1,0)</f>
        <v>0</v>
      </c>
      <c r="W44" s="54">
        <f>(W43*Assumptions!$P44/12)*IF(W1&gt;Assumptions!$P$47,1,0)</f>
        <v>0</v>
      </c>
      <c r="X44" s="54">
        <f>(X43*Assumptions!$P44/12)*IF(X1&gt;Assumptions!$P$47,1,0)</f>
        <v>0</v>
      </c>
      <c r="Y44" s="54">
        <f>(Y43*Assumptions!$P44/12)*IF(Y1&gt;Assumptions!$P$47,1,0)</f>
        <v>0</v>
      </c>
      <c r="Z44" s="54">
        <f>(Z43*Assumptions!$P44/12)*IF(Z1&gt;Assumptions!$P$47,1,0)</f>
        <v>0</v>
      </c>
      <c r="AA44" s="54">
        <f>(AA43*Assumptions!$P44/12)*IF(AA1&gt;Assumptions!$P$47,1,0)</f>
        <v>0</v>
      </c>
      <c r="AB44" s="54">
        <f>(AB43*Assumptions!$P44/12)*IF(AB1&gt;Assumptions!$P$47,1,0)</f>
        <v>0</v>
      </c>
      <c r="AC44" s="54">
        <f>(AC43*Assumptions!$P44/12)*IF(AC1&gt;Assumptions!$P$47,1,0)</f>
        <v>0</v>
      </c>
      <c r="AD44" s="54">
        <f>(AD43*Assumptions!$P44/12)*IF(AD1&gt;Assumptions!$P$47,1,0)</f>
        <v>0</v>
      </c>
      <c r="AE44" s="54">
        <f>(AE43*Assumptions!$P44/12)*IF(AE1&gt;Assumptions!$P$47,1,0)</f>
        <v>0</v>
      </c>
      <c r="AF44" s="54">
        <f>(AF43*Assumptions!$P44/12)*IF(AF1&gt;Assumptions!$P$47,1,0)</f>
        <v>0</v>
      </c>
      <c r="AG44" s="54">
        <f>(AG43*Assumptions!$P44/12)*IF(AG1&gt;Assumptions!$P$47,1,0)</f>
        <v>0</v>
      </c>
      <c r="AH44" s="54">
        <f>(AH43*Assumptions!$P44/12)*IF(AH1&gt;Assumptions!$P$47,1,0)</f>
        <v>0</v>
      </c>
      <c r="AI44" s="54">
        <f>(AI43*Assumptions!$P44/12)*IF(AI1&gt;Assumptions!$P$47,1,0)</f>
        <v>0</v>
      </c>
      <c r="AJ44" s="54">
        <f>(AJ43*Assumptions!$P44/12)*IF(AJ1&gt;Assumptions!$P$47,1,0)</f>
        <v>0</v>
      </c>
      <c r="AK44" s="54">
        <f>(AK43*Assumptions!$P44/12)*IF(AK1&gt;Assumptions!$P$47,1,0)</f>
        <v>0</v>
      </c>
      <c r="AL44" s="54">
        <f>(AL43*Assumptions!$P44/12)*IF(AL1&gt;Assumptions!$P$47,1,0)</f>
        <v>0</v>
      </c>
      <c r="AM44" s="54">
        <f>(AM43*Assumptions!$P44/12)*IF(AM1&gt;Assumptions!$P$47,1,0)</f>
        <v>0</v>
      </c>
      <c r="AN44" s="54">
        <f>(AN43*Assumptions!$P44/12)*IF(AN1&gt;Assumptions!$P$47,1,0)</f>
        <v>65127.57485</v>
      </c>
      <c r="AO44" s="54">
        <f>(AO43*Assumptions!$P44/12)*IF(AO1&gt;Assumptions!$P$47,1,0)</f>
        <v>65058.66968</v>
      </c>
      <c r="AP44" s="54">
        <f>(AP43*Assumptions!$P44/12)*IF(AP1&gt;Assumptions!$P$47,1,0)</f>
        <v>64989.43836</v>
      </c>
      <c r="AQ44" s="54">
        <f>(AQ43*Assumptions!$P44/12)*IF(AQ1&gt;Assumptions!$P$47,1,0)</f>
        <v>64919.87934</v>
      </c>
      <c r="AR44" s="54">
        <f>(AR43*Assumptions!$P44/12)*IF(AR1&gt;Assumptions!$P$47,1,0)</f>
        <v>64849.99108</v>
      </c>
      <c r="AS44" s="54">
        <f>(AS43*Assumptions!$P44/12)*IF(AS1&gt;Assumptions!$P$47,1,0)</f>
        <v>64779.77201</v>
      </c>
      <c r="AT44" s="54">
        <f>(AT43*Assumptions!$P44/12)*IF(AT1&gt;Assumptions!$P$47,1,0)</f>
        <v>64709.22057</v>
      </c>
      <c r="AU44" s="54">
        <f>(AU43*Assumptions!$P44/12)*IF(AU1&gt;Assumptions!$P$47,1,0)</f>
        <v>64638.33519</v>
      </c>
      <c r="AV44" s="54">
        <f>(AV43*Assumptions!$P44/12)*IF(AV1&gt;Assumptions!$P$47,1,0)</f>
        <v>64567.11428</v>
      </c>
      <c r="AW44" s="54">
        <f>(AW43*Assumptions!$P44/12)*IF(AW1&gt;Assumptions!$P$47,1,0)</f>
        <v>64495.55627</v>
      </c>
      <c r="AX44" s="54">
        <f>(AX43*Assumptions!$P44/12)*IF(AX1&gt;Assumptions!$P$47,1,0)</f>
        <v>64423.65954</v>
      </c>
      <c r="AY44" s="54">
        <f>(AY43*Assumptions!$P44/12)*IF(AY1&gt;Assumptions!$P$47,1,0)</f>
        <v>64351.42251</v>
      </c>
      <c r="AZ44" s="54">
        <f>(AZ43*Assumptions!$P44/12)*IF(AZ1&gt;Assumptions!$P$47,1,0)</f>
        <v>64278.84355</v>
      </c>
      <c r="BA44" s="54">
        <f>(BA43*Assumptions!$P44/12)*IF(BA1&gt;Assumptions!$P$47,1,0)</f>
        <v>64205.92105</v>
      </c>
      <c r="BB44" s="54">
        <f>(BB43*Assumptions!$P44/12)*IF(BB1&gt;Assumptions!$P$47,1,0)</f>
        <v>64132.65338</v>
      </c>
      <c r="BC44" s="54">
        <f>(BC43*Assumptions!$P44/12)*IF(BC1&gt;Assumptions!$P$47,1,0)</f>
        <v>64059.03892</v>
      </c>
      <c r="BD44" s="54">
        <f>(BD43*Assumptions!$P44/12)*IF(BD1&gt;Assumptions!$P$47,1,0)</f>
        <v>63985.07601</v>
      </c>
      <c r="BE44" s="54">
        <f>(BE43*Assumptions!$P44/12)*IF(BE1&gt;Assumptions!$P$47,1,0)</f>
        <v>63910.76301</v>
      </c>
      <c r="BF44" s="54">
        <f>(BF43*Assumptions!$P44/12)*IF(BF1&gt;Assumptions!$P$47,1,0)</f>
        <v>63836.09826</v>
      </c>
      <c r="BG44" s="54">
        <f>(BG43*Assumptions!$P44/12)*IF(BG1&gt;Assumptions!$P$47,1,0)</f>
        <v>63761.0801</v>
      </c>
      <c r="BH44" s="54">
        <f>(BH43*Assumptions!$P44/12)*IF(BH1&gt;Assumptions!$P$47,1,0)</f>
        <v>63685.70686</v>
      </c>
      <c r="BI44" s="54">
        <f>(BI43*Assumptions!$P44/12)*IF(BI1&gt;Assumptions!$P$47,1,0)</f>
        <v>63609.97684</v>
      </c>
      <c r="BJ44" s="54">
        <f>(BJ43*Assumptions!$P44/12)*IF(BJ1&gt;Assumptions!$P$47,1,0)</f>
        <v>63533.88838</v>
      </c>
      <c r="BK44" s="54">
        <f>(BK43*Assumptions!$P44/12)*IF(BK1&gt;Assumptions!$P$47,1,0)</f>
        <v>63457.43976</v>
      </c>
      <c r="BL44" s="54">
        <f>(BL43*Assumptions!$P44/12)*IF(BL1&gt;Assumptions!$P$47,1,0)</f>
        <v>63380.62928</v>
      </c>
      <c r="BM44" s="54">
        <f>(BM43*Assumptions!$P44/12)*IF(BM1&gt;Assumptions!$P$47,1,0)</f>
        <v>63303.45523</v>
      </c>
      <c r="BN44" s="54">
        <f>(BN43*Assumptions!$P44/12)*IF(BN1&gt;Assumptions!$P$47,1,0)</f>
        <v>63225.9159</v>
      </c>
      <c r="BO44" s="54">
        <f>(BO43*Assumptions!$P44/12)*IF(BO1&gt;Assumptions!$P$47,1,0)</f>
        <v>63148.00954</v>
      </c>
      <c r="BP44" s="54">
        <f>(BP43*Assumptions!$P44/12)*IF(BP1&gt;Assumptions!$P$47,1,0)</f>
        <v>63069.73443</v>
      </c>
      <c r="BQ44" s="54">
        <f>(BQ43*Assumptions!$P44/12)*IF(BQ1&gt;Assumptions!$P$47,1,0)</f>
        <v>62991.08881</v>
      </c>
      <c r="BR44" s="54">
        <f>(BR43*Assumptions!$P44/12)*IF(BR1&gt;Assumptions!$P$47,1,0)</f>
        <v>62912.07094</v>
      </c>
      <c r="BS44" s="54">
        <f>(BS43*Assumptions!$P44/12)*IF(BS1&gt;Assumptions!$P$47,1,0)</f>
        <v>62832.67905</v>
      </c>
      <c r="BT44" s="54">
        <f>(BT43*Assumptions!$P44/12)*IF(BT1&gt;Assumptions!$P$47,1,0)</f>
        <v>62752.91137</v>
      </c>
      <c r="BU44" s="54">
        <f>(BU43*Assumptions!$P44/12)*IF(BU1&gt;Assumptions!$P$47,1,0)</f>
        <v>62672.76613</v>
      </c>
      <c r="BV44" s="54">
        <f>(BV43*Assumptions!$P44/12)*IF(BV1&gt;Assumptions!$P$47,1,0)</f>
        <v>62592.24153</v>
      </c>
      <c r="BW44" s="54">
        <f>(BW43*Assumptions!$P44/12)*IF(BW1&gt;Assumptions!$P$47,1,0)</f>
        <v>62511.33578</v>
      </c>
      <c r="BX44" s="54">
        <f>(BX43*Assumptions!$P44/12)*IF(BX1&gt;Assumptions!$P$47,1,0)</f>
        <v>62430.04708</v>
      </c>
      <c r="BY44" s="54">
        <f>(BY43*Assumptions!$P44/12)*IF(BY1&gt;Assumptions!$P$47,1,0)</f>
        <v>62348.37361</v>
      </c>
      <c r="BZ44" s="54">
        <f>(BZ43*Assumptions!$P44/12)*IF(BZ1&gt;Assumptions!$P$47,1,0)</f>
        <v>62266.31355</v>
      </c>
      <c r="CA44" s="54">
        <f>(CA43*Assumptions!$P44/12)*IF(CA1&gt;Assumptions!$P$47,1,0)</f>
        <v>62183.86508</v>
      </c>
      <c r="CB44" s="54">
        <f>(CB43*Assumptions!$P44/12)*IF(CB1&gt;Assumptions!$P$47,1,0)</f>
        <v>62101.02635</v>
      </c>
      <c r="CC44" s="54">
        <f>(CC43*Assumptions!$P44/12)*IF(CC1&gt;Assumptions!$P$47,1,0)</f>
        <v>62017.79551</v>
      </c>
      <c r="CD44" s="54">
        <f>(CD43*Assumptions!$P44/12)*IF(CD1&gt;Assumptions!$P$47,1,0)</f>
        <v>61934.17072</v>
      </c>
      <c r="CE44" s="54">
        <f>(CE43*Assumptions!$P44/12)*IF(CE1&gt;Assumptions!$P$47,1,0)</f>
        <v>61850.1501</v>
      </c>
      <c r="CF44" s="54">
        <f>(CF43*Assumptions!$P44/12)*IF(CF1&gt;Assumptions!$P$47,1,0)</f>
        <v>61765.73179</v>
      </c>
      <c r="CG44" s="54">
        <f>(CG43*Assumptions!$P44/12)*IF(CG1&gt;Assumptions!$P$47,1,0)</f>
        <v>61680.91389</v>
      </c>
      <c r="CH44" s="54">
        <f>(CH43*Assumptions!$P44/12)*IF(CH1&gt;Assumptions!$P$47,1,0)</f>
        <v>61595.69453</v>
      </c>
      <c r="CI44" s="54">
        <f>(CI43*Assumptions!$P44/12)*IF(CI1&gt;Assumptions!$P$47,1,0)</f>
        <v>61510.07179</v>
      </c>
      <c r="CJ44" s="54">
        <f>(CJ43*Assumptions!$P44/12)*IF(CJ1&gt;Assumptions!$P$47,1,0)</f>
        <v>61424.04377</v>
      </c>
      <c r="CK44" s="54">
        <f>(CK43*Assumptions!$P44/12)*IF(CK1&gt;Assumptions!$P$47,1,0)</f>
        <v>61337.60855</v>
      </c>
      <c r="CL44" s="54">
        <f>(CL43*Assumptions!$P44/12)*IF(CL1&gt;Assumptions!$P$47,1,0)</f>
        <v>61250.76421</v>
      </c>
      <c r="CM44" s="54">
        <f>(CM43*Assumptions!$P44/12)*IF(CM1&gt;Assumptions!$P$47,1,0)</f>
        <v>61163.5088</v>
      </c>
      <c r="CN44" s="54">
        <f>(CN43*Assumptions!$P44/12)*IF(CN1&gt;Assumptions!$P$47,1,0)</f>
        <v>61075.84038</v>
      </c>
      <c r="CO44" s="54">
        <f>(CO43*Assumptions!$P44/12)*IF(CO1&gt;Assumptions!$P$47,1,0)</f>
        <v>60987.757</v>
      </c>
      <c r="CP44" s="54">
        <f>(CP43*Assumptions!$P44/12)*IF(CP1&gt;Assumptions!$P$47,1,0)</f>
        <v>60899.25669</v>
      </c>
      <c r="CQ44" s="54">
        <f>(CQ43*Assumptions!$P44/12)*IF(CQ1&gt;Assumptions!$P$47,1,0)</f>
        <v>60810.33748</v>
      </c>
      <c r="CR44" s="54">
        <f>(CR43*Assumptions!$P44/12)*IF(CR1&gt;Assumptions!$P$47,1,0)</f>
        <v>60720.99739</v>
      </c>
      <c r="CS44" s="54">
        <f>(CS43*Assumptions!$P44/12)*IF(CS1&gt;Assumptions!$P$47,1,0)</f>
        <v>60631.23442</v>
      </c>
      <c r="CT44" s="54">
        <f>(CT43*Assumptions!$P44/12)*IF(CT1&gt;Assumptions!$P$47,1,0)</f>
        <v>60541.04657</v>
      </c>
      <c r="CU44" s="54">
        <f>(CU43*Assumptions!$P44/12)*IF(CU1&gt;Assumptions!$P$47,1,0)</f>
        <v>60450.43183</v>
      </c>
      <c r="CV44" s="54">
        <f>(CV43*Assumptions!$P44/12)*IF(CV1&gt;Assumptions!$P$47,1,0)</f>
        <v>60359.38818</v>
      </c>
      <c r="CW44" s="54">
        <f>(CW43*Assumptions!$P44/12)*IF(CW1&gt;Assumptions!$P$47,1,0)</f>
        <v>60267.9136</v>
      </c>
      <c r="CX44" s="54">
        <f>(CX43*Assumptions!$P44/12)*IF(CX1&gt;Assumptions!$P$47,1,0)</f>
        <v>60176.00603</v>
      </c>
      <c r="CY44" s="54">
        <f>(CY43*Assumptions!$P44/12)*IF(CY1&gt;Assumptions!$P$47,1,0)</f>
        <v>60083.66343</v>
      </c>
      <c r="CZ44" s="54">
        <f>(CZ43*Assumptions!$P44/12)*IF(CZ1&gt;Assumptions!$P$47,1,0)</f>
        <v>59990.88375</v>
      </c>
      <c r="DA44" s="54">
        <f>(DA43*Assumptions!$P44/12)*IF(DA1&gt;Assumptions!$P$47,1,0)</f>
        <v>59897.6649</v>
      </c>
      <c r="DB44" s="54">
        <f>(DB43*Assumptions!$P44/12)*IF(DB1&gt;Assumptions!$P$47,1,0)</f>
        <v>59804.00483</v>
      </c>
      <c r="DC44" s="54">
        <f>(DC43*Assumptions!$P44/12)*IF(DC1&gt;Assumptions!$P$47,1,0)</f>
        <v>59709.90142</v>
      </c>
      <c r="DD44" s="54">
        <f>(DD43*Assumptions!$P44/12)*IF(DD1&gt;Assumptions!$P$47,1,0)</f>
        <v>59615.3526</v>
      </c>
      <c r="DE44" s="54">
        <f>(DE43*Assumptions!$P44/12)*IF(DE1&gt;Assumptions!$P$47,1,0)</f>
        <v>59520.35624</v>
      </c>
      <c r="DF44" s="54">
        <f>(DF43*Assumptions!$P44/12)*IF(DF1&gt;Assumptions!$P$47,1,0)</f>
        <v>59424.91024</v>
      </c>
      <c r="DG44" s="54">
        <f>(DG43*Assumptions!$P44/12)*IF(DG1&gt;Assumptions!$P$47,1,0)</f>
        <v>59329.01245</v>
      </c>
      <c r="DH44" s="54">
        <f>(DH43*Assumptions!$P44/12)*IF(DH1&gt;Assumptions!$P$47,1,0)</f>
        <v>59232.66075</v>
      </c>
      <c r="DI44" s="54">
        <f>(DI43*Assumptions!$P44/12)*IF(DI1&gt;Assumptions!$P$47,1,0)</f>
        <v>59135.85299</v>
      </c>
      <c r="DJ44" s="54">
        <f>(DJ43*Assumptions!$P44/12)*IF(DJ1&gt;Assumptions!$P$47,1,0)</f>
        <v>59038.587</v>
      </c>
      <c r="DK44" s="54">
        <f>(DK43*Assumptions!$P44/12)*IF(DK1&gt;Assumptions!$P$47,1,0)</f>
        <v>58940.86062</v>
      </c>
      <c r="DL44" s="54">
        <f>(DL43*Assumptions!$P44/12)*IF(DL1&gt;Assumptions!$P$47,1,0)</f>
        <v>58842.67167</v>
      </c>
      <c r="DM44" s="54">
        <f>(DM43*Assumptions!$P44/12)*IF(DM1&gt;Assumptions!$P$47,1,0)</f>
        <v>58744.01796</v>
      </c>
      <c r="DN44" s="54">
        <f>(DN43*Assumptions!$P44/12)*IF(DN1&gt;Assumptions!$P$47,1,0)</f>
        <v>58644.89728</v>
      </c>
      <c r="DO44" s="54">
        <f>(DO43*Assumptions!$P44/12)*IF(DO1&gt;Assumptions!$P$47,1,0)</f>
        <v>58545.30744</v>
      </c>
      <c r="DP44" s="54">
        <f>(DP43*Assumptions!$P44/12)*IF(DP1&gt;Assumptions!$P$47,1,0)</f>
        <v>58445.2462</v>
      </c>
      <c r="DQ44" s="54">
        <f>(DQ43*Assumptions!$P44/12)*IF(DQ1&gt;Assumptions!$P$47,1,0)</f>
        <v>58344.71134</v>
      </c>
      <c r="DR44" s="54">
        <f>(DR43*Assumptions!$P44/12)*IF(DR1&gt;Assumptions!$P$47,1,0)</f>
        <v>58243.70062</v>
      </c>
      <c r="DS44" s="54">
        <f>(DS43*Assumptions!$P44/12)*IF(DS1&gt;Assumptions!$P$47,1,0)</f>
        <v>58142.21178</v>
      </c>
      <c r="DT44" s="54">
        <f>(DT43*Assumptions!$P44/12)*IF(DT1&gt;Assumptions!$P$47,1,0)</f>
        <v>58040.24255</v>
      </c>
      <c r="DU44" s="54">
        <f>(DU43*Assumptions!$P44/12)*IF(DU1&gt;Assumptions!$P$47,1,0)</f>
        <v>57937.79068</v>
      </c>
      <c r="DV44" s="54">
        <f>(DV43*Assumptions!$P44/12)*IF(DV1&gt;Assumptions!$P$47,1,0)</f>
        <v>57834.85386</v>
      </c>
      <c r="DW44" s="54">
        <f>(DW43*Assumptions!$P44/12)*IF(DW1&gt;Assumptions!$P$47,1,0)</f>
        <v>57731.42981</v>
      </c>
      <c r="DX44" s="54">
        <f>(DX43*Assumptions!$P44/12)*IF(DX1&gt;Assumptions!$P$47,1,0)</f>
        <v>57627.51622</v>
      </c>
      <c r="DY44" s="54">
        <f>(DY43*Assumptions!$P44/12)*IF(DY1&gt;Assumptions!$P$47,1,0)</f>
        <v>57523.11077</v>
      </c>
      <c r="DZ44" s="54">
        <f>(DZ43*Assumptions!$P44/12)*IF(DZ1&gt;Assumptions!$P$47,1,0)</f>
        <v>57418.21114</v>
      </c>
      <c r="EA44" s="54">
        <f>(EA43*Assumptions!$P44/12)*IF(EA1&gt;Assumptions!$P$47,1,0)</f>
        <v>57312.81498</v>
      </c>
      <c r="EB44" s="54">
        <f>(EB43*Assumptions!$P44/12)*IF(EB1&gt;Assumptions!$P$47,1,0)</f>
        <v>57206.91994</v>
      </c>
      <c r="EC44" s="54">
        <f>(EC43*Assumptions!$P44/12)*IF(EC1&gt;Assumptions!$P$47,1,0)</f>
        <v>57100.52367</v>
      </c>
      <c r="ED44" s="54">
        <f>(ED43*Assumptions!$P44/12)*IF(ED1&gt;Assumptions!$P$47,1,0)</f>
        <v>56993.62379</v>
      </c>
      <c r="EE44" s="54">
        <f>(EE43*Assumptions!$P44/12)*IF(EE1&gt;Assumptions!$P$47,1,0)</f>
        <v>56886.21792</v>
      </c>
    </row>
    <row r="45" ht="15.75" customHeight="1">
      <c r="A45" s="1"/>
      <c r="B45" s="1"/>
      <c r="C45" s="1" t="s">
        <v>196</v>
      </c>
      <c r="D45" s="54">
        <f t="shared" ref="D45:EE45" si="8">D46-D44</f>
        <v>0</v>
      </c>
      <c r="E45" s="54">
        <f t="shared" si="8"/>
        <v>0</v>
      </c>
      <c r="F45" s="54">
        <f t="shared" si="8"/>
        <v>0</v>
      </c>
      <c r="G45" s="54">
        <f t="shared" si="8"/>
        <v>0</v>
      </c>
      <c r="H45" s="54">
        <f t="shared" si="8"/>
        <v>0</v>
      </c>
      <c r="I45" s="54">
        <f t="shared" si="8"/>
        <v>0</v>
      </c>
      <c r="J45" s="54">
        <f t="shared" si="8"/>
        <v>0</v>
      </c>
      <c r="K45" s="54">
        <f t="shared" si="8"/>
        <v>0</v>
      </c>
      <c r="L45" s="54">
        <f t="shared" si="8"/>
        <v>0</v>
      </c>
      <c r="M45" s="54">
        <f t="shared" si="8"/>
        <v>0</v>
      </c>
      <c r="N45" s="54">
        <f t="shared" si="8"/>
        <v>0</v>
      </c>
      <c r="O45" s="54">
        <f t="shared" si="8"/>
        <v>0</v>
      </c>
      <c r="P45" s="54">
        <f t="shared" si="8"/>
        <v>0</v>
      </c>
      <c r="Q45" s="54">
        <f t="shared" si="8"/>
        <v>0</v>
      </c>
      <c r="R45" s="54">
        <f t="shared" si="8"/>
        <v>0</v>
      </c>
      <c r="S45" s="54">
        <f t="shared" si="8"/>
        <v>0</v>
      </c>
      <c r="T45" s="54">
        <f t="shared" si="8"/>
        <v>0</v>
      </c>
      <c r="U45" s="54">
        <f t="shared" si="8"/>
        <v>0</v>
      </c>
      <c r="V45" s="54">
        <f t="shared" si="8"/>
        <v>0</v>
      </c>
      <c r="W45" s="54">
        <f t="shared" si="8"/>
        <v>0</v>
      </c>
      <c r="X45" s="54">
        <f t="shared" si="8"/>
        <v>0</v>
      </c>
      <c r="Y45" s="54">
        <f t="shared" si="8"/>
        <v>0</v>
      </c>
      <c r="Z45" s="54">
        <f t="shared" si="8"/>
        <v>0</v>
      </c>
      <c r="AA45" s="54">
        <f t="shared" si="8"/>
        <v>0</v>
      </c>
      <c r="AB45" s="54">
        <f t="shared" si="8"/>
        <v>0</v>
      </c>
      <c r="AC45" s="54">
        <f t="shared" si="8"/>
        <v>0</v>
      </c>
      <c r="AD45" s="54">
        <f t="shared" si="8"/>
        <v>0</v>
      </c>
      <c r="AE45" s="54">
        <f t="shared" si="8"/>
        <v>0</v>
      </c>
      <c r="AF45" s="54">
        <f t="shared" si="8"/>
        <v>0</v>
      </c>
      <c r="AG45" s="54">
        <f t="shared" si="8"/>
        <v>0</v>
      </c>
      <c r="AH45" s="54">
        <f t="shared" si="8"/>
        <v>0</v>
      </c>
      <c r="AI45" s="54">
        <f t="shared" si="8"/>
        <v>0</v>
      </c>
      <c r="AJ45" s="54">
        <f t="shared" si="8"/>
        <v>0</v>
      </c>
      <c r="AK45" s="54">
        <f t="shared" si="8"/>
        <v>0</v>
      </c>
      <c r="AL45" s="54">
        <f t="shared" si="8"/>
        <v>0</v>
      </c>
      <c r="AM45" s="54">
        <f t="shared" si="8"/>
        <v>0</v>
      </c>
      <c r="AN45" s="54">
        <f t="shared" si="8"/>
        <v>14557.43047</v>
      </c>
      <c r="AO45" s="54">
        <f t="shared" si="8"/>
        <v>14626.33564</v>
      </c>
      <c r="AP45" s="54">
        <f t="shared" si="8"/>
        <v>14695.56696</v>
      </c>
      <c r="AQ45" s="54">
        <f t="shared" si="8"/>
        <v>14765.12598</v>
      </c>
      <c r="AR45" s="54">
        <f t="shared" si="8"/>
        <v>14835.01424</v>
      </c>
      <c r="AS45" s="54">
        <f t="shared" si="8"/>
        <v>14905.23331</v>
      </c>
      <c r="AT45" s="54">
        <f t="shared" si="8"/>
        <v>14975.78475</v>
      </c>
      <c r="AU45" s="54">
        <f t="shared" si="8"/>
        <v>15046.67013</v>
      </c>
      <c r="AV45" s="54">
        <f t="shared" si="8"/>
        <v>15117.89103</v>
      </c>
      <c r="AW45" s="54">
        <f t="shared" si="8"/>
        <v>15189.44905</v>
      </c>
      <c r="AX45" s="54">
        <f t="shared" si="8"/>
        <v>15261.34577</v>
      </c>
      <c r="AY45" s="54">
        <f t="shared" si="8"/>
        <v>15333.58281</v>
      </c>
      <c r="AZ45" s="54">
        <f t="shared" si="8"/>
        <v>15406.16177</v>
      </c>
      <c r="BA45" s="54">
        <f t="shared" si="8"/>
        <v>15479.08427</v>
      </c>
      <c r="BB45" s="54">
        <f t="shared" si="8"/>
        <v>15552.35193</v>
      </c>
      <c r="BC45" s="54">
        <f t="shared" si="8"/>
        <v>15625.9664</v>
      </c>
      <c r="BD45" s="54">
        <f t="shared" si="8"/>
        <v>15699.92931</v>
      </c>
      <c r="BE45" s="54">
        <f t="shared" si="8"/>
        <v>15774.24231</v>
      </c>
      <c r="BF45" s="54">
        <f t="shared" si="8"/>
        <v>15848.90705</v>
      </c>
      <c r="BG45" s="54">
        <f t="shared" si="8"/>
        <v>15923.92521</v>
      </c>
      <c r="BH45" s="54">
        <f t="shared" si="8"/>
        <v>15999.29846</v>
      </c>
      <c r="BI45" s="54">
        <f t="shared" si="8"/>
        <v>16075.02847</v>
      </c>
      <c r="BJ45" s="54">
        <f t="shared" si="8"/>
        <v>16151.11694</v>
      </c>
      <c r="BK45" s="54">
        <f t="shared" si="8"/>
        <v>16227.56556</v>
      </c>
      <c r="BL45" s="54">
        <f t="shared" si="8"/>
        <v>16304.37604</v>
      </c>
      <c r="BM45" s="54">
        <f t="shared" si="8"/>
        <v>16381.55008</v>
      </c>
      <c r="BN45" s="54">
        <f t="shared" si="8"/>
        <v>16459.08942</v>
      </c>
      <c r="BO45" s="54">
        <f t="shared" si="8"/>
        <v>16536.99578</v>
      </c>
      <c r="BP45" s="54">
        <f t="shared" si="8"/>
        <v>16615.27089</v>
      </c>
      <c r="BQ45" s="54">
        <f t="shared" si="8"/>
        <v>16693.91651</v>
      </c>
      <c r="BR45" s="54">
        <f t="shared" si="8"/>
        <v>16772.93438</v>
      </c>
      <c r="BS45" s="54">
        <f t="shared" si="8"/>
        <v>16852.32627</v>
      </c>
      <c r="BT45" s="54">
        <f t="shared" si="8"/>
        <v>16932.09395</v>
      </c>
      <c r="BU45" s="54">
        <f t="shared" si="8"/>
        <v>17012.23919</v>
      </c>
      <c r="BV45" s="54">
        <f t="shared" si="8"/>
        <v>17092.76379</v>
      </c>
      <c r="BW45" s="54">
        <f t="shared" si="8"/>
        <v>17173.66954</v>
      </c>
      <c r="BX45" s="54">
        <f t="shared" si="8"/>
        <v>17254.95824</v>
      </c>
      <c r="BY45" s="54">
        <f t="shared" si="8"/>
        <v>17336.63171</v>
      </c>
      <c r="BZ45" s="54">
        <f t="shared" si="8"/>
        <v>17418.69177</v>
      </c>
      <c r="CA45" s="54">
        <f t="shared" si="8"/>
        <v>17501.14024</v>
      </c>
      <c r="CB45" s="54">
        <f t="shared" si="8"/>
        <v>17583.97897</v>
      </c>
      <c r="CC45" s="54">
        <f t="shared" si="8"/>
        <v>17667.2098</v>
      </c>
      <c r="CD45" s="54">
        <f t="shared" si="8"/>
        <v>17750.8346</v>
      </c>
      <c r="CE45" s="54">
        <f t="shared" si="8"/>
        <v>17834.85521</v>
      </c>
      <c r="CF45" s="54">
        <f t="shared" si="8"/>
        <v>17919.27353</v>
      </c>
      <c r="CG45" s="54">
        <f t="shared" si="8"/>
        <v>18004.09142</v>
      </c>
      <c r="CH45" s="54">
        <f t="shared" si="8"/>
        <v>18089.31079</v>
      </c>
      <c r="CI45" s="54">
        <f t="shared" si="8"/>
        <v>18174.93353</v>
      </c>
      <c r="CJ45" s="54">
        <f t="shared" si="8"/>
        <v>18260.96155</v>
      </c>
      <c r="CK45" s="54">
        <f t="shared" si="8"/>
        <v>18347.39676</v>
      </c>
      <c r="CL45" s="54">
        <f t="shared" si="8"/>
        <v>18434.24111</v>
      </c>
      <c r="CM45" s="54">
        <f t="shared" si="8"/>
        <v>18521.49652</v>
      </c>
      <c r="CN45" s="54">
        <f t="shared" si="8"/>
        <v>18609.16493</v>
      </c>
      <c r="CO45" s="54">
        <f t="shared" si="8"/>
        <v>18697.24831</v>
      </c>
      <c r="CP45" s="54">
        <f t="shared" si="8"/>
        <v>18785.74862</v>
      </c>
      <c r="CQ45" s="54">
        <f t="shared" si="8"/>
        <v>18874.66783</v>
      </c>
      <c r="CR45" s="54">
        <f t="shared" si="8"/>
        <v>18964.00793</v>
      </c>
      <c r="CS45" s="54">
        <f t="shared" si="8"/>
        <v>19053.7709</v>
      </c>
      <c r="CT45" s="54">
        <f t="shared" si="8"/>
        <v>19143.95875</v>
      </c>
      <c r="CU45" s="54">
        <f t="shared" si="8"/>
        <v>19234.57349</v>
      </c>
      <c r="CV45" s="54">
        <f t="shared" si="8"/>
        <v>19325.61713</v>
      </c>
      <c r="CW45" s="54">
        <f t="shared" si="8"/>
        <v>19417.09172</v>
      </c>
      <c r="CX45" s="54">
        <f t="shared" si="8"/>
        <v>19508.99929</v>
      </c>
      <c r="CY45" s="54">
        <f t="shared" si="8"/>
        <v>19601.34189</v>
      </c>
      <c r="CZ45" s="54">
        <f t="shared" si="8"/>
        <v>19694.12157</v>
      </c>
      <c r="DA45" s="54">
        <f t="shared" si="8"/>
        <v>19787.34041</v>
      </c>
      <c r="DB45" s="54">
        <f t="shared" si="8"/>
        <v>19881.00049</v>
      </c>
      <c r="DC45" s="54">
        <f t="shared" si="8"/>
        <v>19975.10389</v>
      </c>
      <c r="DD45" s="54">
        <f t="shared" si="8"/>
        <v>20069.65272</v>
      </c>
      <c r="DE45" s="54">
        <f t="shared" si="8"/>
        <v>20164.64907</v>
      </c>
      <c r="DF45" s="54">
        <f t="shared" si="8"/>
        <v>20260.09508</v>
      </c>
      <c r="DG45" s="54">
        <f t="shared" si="8"/>
        <v>20355.99286</v>
      </c>
      <c r="DH45" s="54">
        <f t="shared" si="8"/>
        <v>20452.34456</v>
      </c>
      <c r="DI45" s="54">
        <f t="shared" si="8"/>
        <v>20549.15233</v>
      </c>
      <c r="DJ45" s="54">
        <f t="shared" si="8"/>
        <v>20646.41831</v>
      </c>
      <c r="DK45" s="54">
        <f t="shared" si="8"/>
        <v>20744.14469</v>
      </c>
      <c r="DL45" s="54">
        <f t="shared" si="8"/>
        <v>20842.33365</v>
      </c>
      <c r="DM45" s="54">
        <f t="shared" si="8"/>
        <v>20940.98736</v>
      </c>
      <c r="DN45" s="54">
        <f t="shared" si="8"/>
        <v>21040.10803</v>
      </c>
      <c r="DO45" s="54">
        <f t="shared" si="8"/>
        <v>21139.69788</v>
      </c>
      <c r="DP45" s="54">
        <f t="shared" si="8"/>
        <v>21239.75911</v>
      </c>
      <c r="DQ45" s="54">
        <f t="shared" si="8"/>
        <v>21340.29397</v>
      </c>
      <c r="DR45" s="54">
        <f t="shared" si="8"/>
        <v>21441.3047</v>
      </c>
      <c r="DS45" s="54">
        <f t="shared" si="8"/>
        <v>21542.79354</v>
      </c>
      <c r="DT45" s="54">
        <f t="shared" si="8"/>
        <v>21644.76276</v>
      </c>
      <c r="DU45" s="54">
        <f t="shared" si="8"/>
        <v>21747.21464</v>
      </c>
      <c r="DV45" s="54">
        <f t="shared" si="8"/>
        <v>21850.15146</v>
      </c>
      <c r="DW45" s="54">
        <f t="shared" si="8"/>
        <v>21953.57551</v>
      </c>
      <c r="DX45" s="54">
        <f t="shared" si="8"/>
        <v>22057.4891</v>
      </c>
      <c r="DY45" s="54">
        <f t="shared" si="8"/>
        <v>22161.89455</v>
      </c>
      <c r="DZ45" s="54">
        <f t="shared" si="8"/>
        <v>22266.79418</v>
      </c>
      <c r="EA45" s="54">
        <f t="shared" si="8"/>
        <v>22372.19034</v>
      </c>
      <c r="EB45" s="54">
        <f t="shared" si="8"/>
        <v>22478.08537</v>
      </c>
      <c r="EC45" s="54">
        <f t="shared" si="8"/>
        <v>22584.48164</v>
      </c>
      <c r="ED45" s="54">
        <f t="shared" si="8"/>
        <v>22691.38152</v>
      </c>
      <c r="EE45" s="54">
        <f t="shared" si="8"/>
        <v>22798.7874</v>
      </c>
    </row>
    <row r="46" ht="15.75" customHeight="1">
      <c r="A46" s="1"/>
      <c r="B46" s="1"/>
      <c r="C46" s="1" t="s">
        <v>197</v>
      </c>
      <c r="D46" s="54">
        <f>-PMT(Assumptions!$P44/12,Assumptions!$P45*12,Assumptions!$P42)*IF(D1&gt;Assumptions!$P$47,1,0)</f>
        <v>0</v>
      </c>
      <c r="E46" s="54">
        <f>-PMT(Assumptions!$P44/12,Assumptions!$P45*12,Assumptions!$P42)*IF(E1&gt;Assumptions!$P$47,1,0)</f>
        <v>0</v>
      </c>
      <c r="F46" s="54">
        <f>-PMT(Assumptions!$P44/12,Assumptions!$P45*12,Assumptions!$P42)*IF(F1&gt;Assumptions!$P$47,1,0)</f>
        <v>0</v>
      </c>
      <c r="G46" s="54">
        <f>-PMT(Assumptions!$P44/12,Assumptions!$P45*12,Assumptions!$P42)*IF(G1&gt;Assumptions!$P$47,1,0)</f>
        <v>0</v>
      </c>
      <c r="H46" s="54">
        <f>-PMT(Assumptions!$P44/12,Assumptions!$P45*12,Assumptions!$P42)*IF(H1&gt;Assumptions!$P$47,1,0)</f>
        <v>0</v>
      </c>
      <c r="I46" s="54">
        <f>-PMT(Assumptions!$P44/12,Assumptions!$P45*12,Assumptions!$P42)*IF(I1&gt;Assumptions!$P$47,1,0)</f>
        <v>0</v>
      </c>
      <c r="J46" s="54">
        <f>-PMT(Assumptions!$P44/12,Assumptions!$P45*12,Assumptions!$P42)*IF(J1&gt;Assumptions!$P$47,1,0)</f>
        <v>0</v>
      </c>
      <c r="K46" s="54">
        <f>-PMT(Assumptions!$P44/12,Assumptions!$P45*12,Assumptions!$P42)*IF(K1&gt;Assumptions!$P$47,1,0)</f>
        <v>0</v>
      </c>
      <c r="L46" s="54">
        <f>-PMT(Assumptions!$P44/12,Assumptions!$P45*12,Assumptions!$P42)*IF(L1&gt;Assumptions!$P$47,1,0)</f>
        <v>0</v>
      </c>
      <c r="M46" s="54">
        <f>-PMT(Assumptions!$P44/12,Assumptions!$P45*12,Assumptions!$P42)*IF(M1&gt;Assumptions!$P$47,1,0)</f>
        <v>0</v>
      </c>
      <c r="N46" s="54">
        <f>-PMT(Assumptions!$P44/12,Assumptions!$P45*12,Assumptions!$P42)*IF(N1&gt;Assumptions!$P$47,1,0)</f>
        <v>0</v>
      </c>
      <c r="O46" s="54">
        <f>-PMT(Assumptions!$P44/12,Assumptions!$P45*12,Assumptions!$P42)*IF(O1&gt;Assumptions!$P$47,1,0)</f>
        <v>0</v>
      </c>
      <c r="P46" s="54">
        <f>-PMT(Assumptions!$P44/12,Assumptions!$P45*12,Assumptions!$P42)*IF(P1&gt;Assumptions!$P$47,1,0)</f>
        <v>0</v>
      </c>
      <c r="Q46" s="54">
        <f>-PMT(Assumptions!$P44/12,Assumptions!$P45*12,Assumptions!$P42)*IF(Q1&gt;Assumptions!$P$47,1,0)</f>
        <v>0</v>
      </c>
      <c r="R46" s="54">
        <f>-PMT(Assumptions!$P44/12,Assumptions!$P45*12,Assumptions!$P42)*IF(R1&gt;Assumptions!$P$47,1,0)</f>
        <v>0</v>
      </c>
      <c r="S46" s="54">
        <f>-PMT(Assumptions!$P44/12,Assumptions!$P45*12,Assumptions!$P42)*IF(S1&gt;Assumptions!$P$47,1,0)</f>
        <v>0</v>
      </c>
      <c r="T46" s="54">
        <f>-PMT(Assumptions!$P44/12,Assumptions!$P45*12,Assumptions!$P42)*IF(T1&gt;Assumptions!$P$47,1,0)</f>
        <v>0</v>
      </c>
      <c r="U46" s="54">
        <f>-PMT(Assumptions!$P44/12,Assumptions!$P45*12,Assumptions!$P42)*IF(U1&gt;Assumptions!$P$47,1,0)</f>
        <v>0</v>
      </c>
      <c r="V46" s="54">
        <f>-PMT(Assumptions!$P44/12,Assumptions!$P45*12,Assumptions!$P42)*IF(V1&gt;Assumptions!$P$47,1,0)</f>
        <v>0</v>
      </c>
      <c r="W46" s="54">
        <f>-PMT(Assumptions!$P44/12,Assumptions!$P45*12,Assumptions!$P42)*IF(W1&gt;Assumptions!$P$47,1,0)</f>
        <v>0</v>
      </c>
      <c r="X46" s="54">
        <f>-PMT(Assumptions!$P44/12,Assumptions!$P45*12,Assumptions!$P42)*IF(X1&gt;Assumptions!$P$47,1,0)</f>
        <v>0</v>
      </c>
      <c r="Y46" s="54">
        <f>-PMT(Assumptions!$P44/12,Assumptions!$P45*12,Assumptions!$P42)*IF(Y1&gt;Assumptions!$P$47,1,0)</f>
        <v>0</v>
      </c>
      <c r="Z46" s="54">
        <f>-PMT(Assumptions!$P44/12,Assumptions!$P45*12,Assumptions!$P42)*IF(Z1&gt;Assumptions!$P$47,1,0)</f>
        <v>0</v>
      </c>
      <c r="AA46" s="54">
        <f>-PMT(Assumptions!$P44/12,Assumptions!$P45*12,Assumptions!$P42)*IF(AA1&gt;Assumptions!$P$47,1,0)</f>
        <v>0</v>
      </c>
      <c r="AB46" s="54">
        <f>-PMT(Assumptions!$P44/12,Assumptions!$P45*12,Assumptions!$P42)*IF(AB1&gt;Assumptions!$P$47,1,0)</f>
        <v>0</v>
      </c>
      <c r="AC46" s="54">
        <f>-PMT(Assumptions!$P44/12,Assumptions!$P45*12,Assumptions!$P42)*IF(AC1&gt;Assumptions!$P$47,1,0)</f>
        <v>0</v>
      </c>
      <c r="AD46" s="54">
        <f>-PMT(Assumptions!$P44/12,Assumptions!$P45*12,Assumptions!$P42)*IF(AD1&gt;Assumptions!$P$47,1,0)</f>
        <v>0</v>
      </c>
      <c r="AE46" s="54">
        <f>-PMT(Assumptions!$P44/12,Assumptions!$P45*12,Assumptions!$P42)*IF(AE1&gt;Assumptions!$P$47,1,0)</f>
        <v>0</v>
      </c>
      <c r="AF46" s="54">
        <f>-PMT(Assumptions!$P44/12,Assumptions!$P45*12,Assumptions!$P42)*IF(AF1&gt;Assumptions!$P$47,1,0)</f>
        <v>0</v>
      </c>
      <c r="AG46" s="54">
        <f>-PMT(Assumptions!$P44/12,Assumptions!$P45*12,Assumptions!$P42)*IF(AG1&gt;Assumptions!$P$47,1,0)</f>
        <v>0</v>
      </c>
      <c r="AH46" s="54">
        <f>-PMT(Assumptions!$P44/12,Assumptions!$P45*12,Assumptions!$P42)*IF(AH1&gt;Assumptions!$P$47,1,0)</f>
        <v>0</v>
      </c>
      <c r="AI46" s="54">
        <f>-PMT(Assumptions!$P44/12,Assumptions!$P45*12,Assumptions!$P42)*IF(AI1&gt;Assumptions!$P$47,1,0)</f>
        <v>0</v>
      </c>
      <c r="AJ46" s="54">
        <f>-PMT(Assumptions!$P44/12,Assumptions!$P45*12,Assumptions!$P42)*IF(AJ1&gt;Assumptions!$P$47,1,0)</f>
        <v>0</v>
      </c>
      <c r="AK46" s="54">
        <f>-PMT(Assumptions!$P44/12,Assumptions!$P45*12,Assumptions!$P42)*IF(AK1&gt;Assumptions!$P$47,1,0)</f>
        <v>0</v>
      </c>
      <c r="AL46" s="54">
        <f>-PMT(Assumptions!$P44/12,Assumptions!$P45*12,Assumptions!$P42)*IF(AL1&gt;Assumptions!$P$47,1,0)</f>
        <v>0</v>
      </c>
      <c r="AM46" s="54">
        <f>-PMT(Assumptions!$P44/12,Assumptions!$P45*12,Assumptions!$P42)*IF(AM1&gt;Assumptions!$P$47,1,0)</f>
        <v>0</v>
      </c>
      <c r="AN46" s="54">
        <f>-PMT(Assumptions!$P44/12,Assumptions!$P45*12,Assumptions!$P42)*IF(AN1&gt;Assumptions!$P$47,1,0)</f>
        <v>79685.00532</v>
      </c>
      <c r="AO46" s="54">
        <f>-PMT(Assumptions!$P44/12,Assumptions!$P45*12,Assumptions!$P42)*IF(AO1&gt;Assumptions!$P$47,1,0)</f>
        <v>79685.00532</v>
      </c>
      <c r="AP46" s="54">
        <f>-PMT(Assumptions!$P44/12,Assumptions!$P45*12,Assumptions!$P42)*IF(AP1&gt;Assumptions!$P$47,1,0)</f>
        <v>79685.00532</v>
      </c>
      <c r="AQ46" s="54">
        <f>-PMT(Assumptions!$P44/12,Assumptions!$P45*12,Assumptions!$P42)*IF(AQ1&gt;Assumptions!$P$47,1,0)</f>
        <v>79685.00532</v>
      </c>
      <c r="AR46" s="54">
        <f>-PMT(Assumptions!$P44/12,Assumptions!$P45*12,Assumptions!$P42)*IF(AR1&gt;Assumptions!$P$47,1,0)</f>
        <v>79685.00532</v>
      </c>
      <c r="AS46" s="54">
        <f>-PMT(Assumptions!$P44/12,Assumptions!$P45*12,Assumptions!$P42)*IF(AS1&gt;Assumptions!$P$47,1,0)</f>
        <v>79685.00532</v>
      </c>
      <c r="AT46" s="54">
        <f>-PMT(Assumptions!$P44/12,Assumptions!$P45*12,Assumptions!$P42)*IF(AT1&gt;Assumptions!$P$47,1,0)</f>
        <v>79685.00532</v>
      </c>
      <c r="AU46" s="54">
        <f>-PMT(Assumptions!$P44/12,Assumptions!$P45*12,Assumptions!$P42)*IF(AU1&gt;Assumptions!$P$47,1,0)</f>
        <v>79685.00532</v>
      </c>
      <c r="AV46" s="54">
        <f>-PMT(Assumptions!$P44/12,Assumptions!$P45*12,Assumptions!$P42)*IF(AV1&gt;Assumptions!$P$47,1,0)</f>
        <v>79685.00532</v>
      </c>
      <c r="AW46" s="54">
        <f>-PMT(Assumptions!$P44/12,Assumptions!$P45*12,Assumptions!$P42)*IF(AW1&gt;Assumptions!$P$47,1,0)</f>
        <v>79685.00532</v>
      </c>
      <c r="AX46" s="54">
        <f>-PMT(Assumptions!$P44/12,Assumptions!$P45*12,Assumptions!$P42)*IF(AX1&gt;Assumptions!$P$47,1,0)</f>
        <v>79685.00532</v>
      </c>
      <c r="AY46" s="54">
        <f>-PMT(Assumptions!$P44/12,Assumptions!$P45*12,Assumptions!$P42)*IF(AY1&gt;Assumptions!$P$47,1,0)</f>
        <v>79685.00532</v>
      </c>
      <c r="AZ46" s="54">
        <f>-PMT(Assumptions!$P44/12,Assumptions!$P45*12,Assumptions!$P42)*IF(AZ1&gt;Assumptions!$P$47,1,0)</f>
        <v>79685.00532</v>
      </c>
      <c r="BA46" s="54">
        <f>-PMT(Assumptions!$P44/12,Assumptions!$P45*12,Assumptions!$P42)*IF(BA1&gt;Assumptions!$P$47,1,0)</f>
        <v>79685.00532</v>
      </c>
      <c r="BB46" s="54">
        <f>-PMT(Assumptions!$P44/12,Assumptions!$P45*12,Assumptions!$P42)*IF(BB1&gt;Assumptions!$P$47,1,0)</f>
        <v>79685.00532</v>
      </c>
      <c r="BC46" s="54">
        <f>-PMT(Assumptions!$P44/12,Assumptions!$P45*12,Assumptions!$P42)*IF(BC1&gt;Assumptions!$P$47,1,0)</f>
        <v>79685.00532</v>
      </c>
      <c r="BD46" s="54">
        <f>-PMT(Assumptions!$P44/12,Assumptions!$P45*12,Assumptions!$P42)*IF(BD1&gt;Assumptions!$P$47,1,0)</f>
        <v>79685.00532</v>
      </c>
      <c r="BE46" s="54">
        <f>-PMT(Assumptions!$P44/12,Assumptions!$P45*12,Assumptions!$P42)*IF(BE1&gt;Assumptions!$P$47,1,0)</f>
        <v>79685.00532</v>
      </c>
      <c r="BF46" s="54">
        <f>-PMT(Assumptions!$P44/12,Assumptions!$P45*12,Assumptions!$P42)*IF(BF1&gt;Assumptions!$P$47,1,0)</f>
        <v>79685.00532</v>
      </c>
      <c r="BG46" s="54">
        <f>-PMT(Assumptions!$P44/12,Assumptions!$P45*12,Assumptions!$P42)*IF(BG1&gt;Assumptions!$P$47,1,0)</f>
        <v>79685.00532</v>
      </c>
      <c r="BH46" s="54">
        <f>-PMT(Assumptions!$P44/12,Assumptions!$P45*12,Assumptions!$P42)*IF(BH1&gt;Assumptions!$P$47,1,0)</f>
        <v>79685.00532</v>
      </c>
      <c r="BI46" s="54">
        <f>-PMT(Assumptions!$P44/12,Assumptions!$P45*12,Assumptions!$P42)*IF(BI1&gt;Assumptions!$P$47,1,0)</f>
        <v>79685.00532</v>
      </c>
      <c r="BJ46" s="54">
        <f>-PMT(Assumptions!$P44/12,Assumptions!$P45*12,Assumptions!$P42)*IF(BJ1&gt;Assumptions!$P$47,1,0)</f>
        <v>79685.00532</v>
      </c>
      <c r="BK46" s="54">
        <f>-PMT(Assumptions!$P44/12,Assumptions!$P45*12,Assumptions!$P42)*IF(BK1&gt;Assumptions!$P$47,1,0)</f>
        <v>79685.00532</v>
      </c>
      <c r="BL46" s="54">
        <f>-PMT(Assumptions!$P44/12,Assumptions!$P45*12,Assumptions!$P42)*IF(BL1&gt;Assumptions!$P$47,1,0)</f>
        <v>79685.00532</v>
      </c>
      <c r="BM46" s="54">
        <f>-PMT(Assumptions!$P44/12,Assumptions!$P45*12,Assumptions!$P42)*IF(BM1&gt;Assumptions!$P$47,1,0)</f>
        <v>79685.00532</v>
      </c>
      <c r="BN46" s="54">
        <f>-PMT(Assumptions!$P44/12,Assumptions!$P45*12,Assumptions!$P42)*IF(BN1&gt;Assumptions!$P$47,1,0)</f>
        <v>79685.00532</v>
      </c>
      <c r="BO46" s="54">
        <f>-PMT(Assumptions!$P44/12,Assumptions!$P45*12,Assumptions!$P42)*IF(BO1&gt;Assumptions!$P$47,1,0)</f>
        <v>79685.00532</v>
      </c>
      <c r="BP46" s="54">
        <f>-PMT(Assumptions!$P44/12,Assumptions!$P45*12,Assumptions!$P42)*IF(BP1&gt;Assumptions!$P$47,1,0)</f>
        <v>79685.00532</v>
      </c>
      <c r="BQ46" s="54">
        <f>-PMT(Assumptions!$P44/12,Assumptions!$P45*12,Assumptions!$P42)*IF(BQ1&gt;Assumptions!$P$47,1,0)</f>
        <v>79685.00532</v>
      </c>
      <c r="BR46" s="54">
        <f>-PMT(Assumptions!$P44/12,Assumptions!$P45*12,Assumptions!$P42)*IF(BR1&gt;Assumptions!$P$47,1,0)</f>
        <v>79685.00532</v>
      </c>
      <c r="BS46" s="54">
        <f>-PMT(Assumptions!$P44/12,Assumptions!$P45*12,Assumptions!$P42)*IF(BS1&gt;Assumptions!$P$47,1,0)</f>
        <v>79685.00532</v>
      </c>
      <c r="BT46" s="54">
        <f>-PMT(Assumptions!$P44/12,Assumptions!$P45*12,Assumptions!$P42)*IF(BT1&gt;Assumptions!$P$47,1,0)</f>
        <v>79685.00532</v>
      </c>
      <c r="BU46" s="54">
        <f>-PMT(Assumptions!$P44/12,Assumptions!$P45*12,Assumptions!$P42)*IF(BU1&gt;Assumptions!$P$47,1,0)</f>
        <v>79685.00532</v>
      </c>
      <c r="BV46" s="54">
        <f>-PMT(Assumptions!$P44/12,Assumptions!$P45*12,Assumptions!$P42)*IF(BV1&gt;Assumptions!$P$47,1,0)</f>
        <v>79685.00532</v>
      </c>
      <c r="BW46" s="54">
        <f>-PMT(Assumptions!$P44/12,Assumptions!$P45*12,Assumptions!$P42)*IF(BW1&gt;Assumptions!$P$47,1,0)</f>
        <v>79685.00532</v>
      </c>
      <c r="BX46" s="54">
        <f>-PMT(Assumptions!$P44/12,Assumptions!$P45*12,Assumptions!$P42)*IF(BX1&gt;Assumptions!$P$47,1,0)</f>
        <v>79685.00532</v>
      </c>
      <c r="BY46" s="54">
        <f>-PMT(Assumptions!$P44/12,Assumptions!$P45*12,Assumptions!$P42)*IF(BY1&gt;Assumptions!$P$47,1,0)</f>
        <v>79685.00532</v>
      </c>
      <c r="BZ46" s="54">
        <f>-PMT(Assumptions!$P44/12,Assumptions!$P45*12,Assumptions!$P42)*IF(BZ1&gt;Assumptions!$P$47,1,0)</f>
        <v>79685.00532</v>
      </c>
      <c r="CA46" s="54">
        <f>-PMT(Assumptions!$P44/12,Assumptions!$P45*12,Assumptions!$P42)*IF(CA1&gt;Assumptions!$P$47,1,0)</f>
        <v>79685.00532</v>
      </c>
      <c r="CB46" s="54">
        <f>-PMT(Assumptions!$P44/12,Assumptions!$P45*12,Assumptions!$P42)*IF(CB1&gt;Assumptions!$P$47,1,0)</f>
        <v>79685.00532</v>
      </c>
      <c r="CC46" s="54">
        <f>-PMT(Assumptions!$P44/12,Assumptions!$P45*12,Assumptions!$P42)*IF(CC1&gt;Assumptions!$P$47,1,0)</f>
        <v>79685.00532</v>
      </c>
      <c r="CD46" s="54">
        <f>-PMT(Assumptions!$P44/12,Assumptions!$P45*12,Assumptions!$P42)*IF(CD1&gt;Assumptions!$P$47,1,0)</f>
        <v>79685.00532</v>
      </c>
      <c r="CE46" s="54">
        <f>-PMT(Assumptions!$P44/12,Assumptions!$P45*12,Assumptions!$P42)*IF(CE1&gt;Assumptions!$P$47,1,0)</f>
        <v>79685.00532</v>
      </c>
      <c r="CF46" s="54">
        <f>-PMT(Assumptions!$P44/12,Assumptions!$P45*12,Assumptions!$P42)*IF(CF1&gt;Assumptions!$P$47,1,0)</f>
        <v>79685.00532</v>
      </c>
      <c r="CG46" s="54">
        <f>-PMT(Assumptions!$P44/12,Assumptions!$P45*12,Assumptions!$P42)*IF(CG1&gt;Assumptions!$P$47,1,0)</f>
        <v>79685.00532</v>
      </c>
      <c r="CH46" s="54">
        <f>-PMT(Assumptions!$P44/12,Assumptions!$P45*12,Assumptions!$P42)*IF(CH1&gt;Assumptions!$P$47,1,0)</f>
        <v>79685.00532</v>
      </c>
      <c r="CI46" s="54">
        <f>-PMT(Assumptions!$P44/12,Assumptions!$P45*12,Assumptions!$P42)*IF(CI1&gt;Assumptions!$P$47,1,0)</f>
        <v>79685.00532</v>
      </c>
      <c r="CJ46" s="54">
        <f>-PMT(Assumptions!$P44/12,Assumptions!$P45*12,Assumptions!$P42)*IF(CJ1&gt;Assumptions!$P$47,1,0)</f>
        <v>79685.00532</v>
      </c>
      <c r="CK46" s="54">
        <f>-PMT(Assumptions!$P44/12,Assumptions!$P45*12,Assumptions!$P42)*IF(CK1&gt;Assumptions!$P$47,1,0)</f>
        <v>79685.00532</v>
      </c>
      <c r="CL46" s="54">
        <f>-PMT(Assumptions!$P44/12,Assumptions!$P45*12,Assumptions!$P42)*IF(CL1&gt;Assumptions!$P$47,1,0)</f>
        <v>79685.00532</v>
      </c>
      <c r="CM46" s="54">
        <f>-PMT(Assumptions!$P44/12,Assumptions!$P45*12,Assumptions!$P42)*IF(CM1&gt;Assumptions!$P$47,1,0)</f>
        <v>79685.00532</v>
      </c>
      <c r="CN46" s="54">
        <f>-PMT(Assumptions!$P44/12,Assumptions!$P45*12,Assumptions!$P42)*IF(CN1&gt;Assumptions!$P$47,1,0)</f>
        <v>79685.00532</v>
      </c>
      <c r="CO46" s="54">
        <f>-PMT(Assumptions!$P44/12,Assumptions!$P45*12,Assumptions!$P42)*IF(CO1&gt;Assumptions!$P$47,1,0)</f>
        <v>79685.00532</v>
      </c>
      <c r="CP46" s="54">
        <f>-PMT(Assumptions!$P44/12,Assumptions!$P45*12,Assumptions!$P42)*IF(CP1&gt;Assumptions!$P$47,1,0)</f>
        <v>79685.00532</v>
      </c>
      <c r="CQ46" s="54">
        <f>-PMT(Assumptions!$P44/12,Assumptions!$P45*12,Assumptions!$P42)*IF(CQ1&gt;Assumptions!$P$47,1,0)</f>
        <v>79685.00532</v>
      </c>
      <c r="CR46" s="54">
        <f>-PMT(Assumptions!$P44/12,Assumptions!$P45*12,Assumptions!$P42)*IF(CR1&gt;Assumptions!$P$47,1,0)</f>
        <v>79685.00532</v>
      </c>
      <c r="CS46" s="54">
        <f>-PMT(Assumptions!$P44/12,Assumptions!$P45*12,Assumptions!$P42)*IF(CS1&gt;Assumptions!$P$47,1,0)</f>
        <v>79685.00532</v>
      </c>
      <c r="CT46" s="54">
        <f>-PMT(Assumptions!$P44/12,Assumptions!$P45*12,Assumptions!$P42)*IF(CT1&gt;Assumptions!$P$47,1,0)</f>
        <v>79685.00532</v>
      </c>
      <c r="CU46" s="54">
        <f>-PMT(Assumptions!$P44/12,Assumptions!$P45*12,Assumptions!$P42)*IF(CU1&gt;Assumptions!$P$47,1,0)</f>
        <v>79685.00532</v>
      </c>
      <c r="CV46" s="54">
        <f>-PMT(Assumptions!$P44/12,Assumptions!$P45*12,Assumptions!$P42)*IF(CV1&gt;Assumptions!$P$47,1,0)</f>
        <v>79685.00532</v>
      </c>
      <c r="CW46" s="54">
        <f>-PMT(Assumptions!$P44/12,Assumptions!$P45*12,Assumptions!$P42)*IF(CW1&gt;Assumptions!$P$47,1,0)</f>
        <v>79685.00532</v>
      </c>
      <c r="CX46" s="54">
        <f>-PMT(Assumptions!$P44/12,Assumptions!$P45*12,Assumptions!$P42)*IF(CX1&gt;Assumptions!$P$47,1,0)</f>
        <v>79685.00532</v>
      </c>
      <c r="CY46" s="54">
        <f>-PMT(Assumptions!$P44/12,Assumptions!$P45*12,Assumptions!$P42)*IF(CY1&gt;Assumptions!$P$47,1,0)</f>
        <v>79685.00532</v>
      </c>
      <c r="CZ46" s="54">
        <f>-PMT(Assumptions!$P44/12,Assumptions!$P45*12,Assumptions!$P42)*IF(CZ1&gt;Assumptions!$P$47,1,0)</f>
        <v>79685.00532</v>
      </c>
      <c r="DA46" s="54">
        <f>-PMT(Assumptions!$P44/12,Assumptions!$P45*12,Assumptions!$P42)*IF(DA1&gt;Assumptions!$P$47,1,0)</f>
        <v>79685.00532</v>
      </c>
      <c r="DB46" s="54">
        <f>-PMT(Assumptions!$P44/12,Assumptions!$P45*12,Assumptions!$P42)*IF(DB1&gt;Assumptions!$P$47,1,0)</f>
        <v>79685.00532</v>
      </c>
      <c r="DC46" s="54">
        <f>-PMT(Assumptions!$P44/12,Assumptions!$P45*12,Assumptions!$P42)*IF(DC1&gt;Assumptions!$P$47,1,0)</f>
        <v>79685.00532</v>
      </c>
      <c r="DD46" s="54">
        <f>-PMT(Assumptions!$P44/12,Assumptions!$P45*12,Assumptions!$P42)*IF(DD1&gt;Assumptions!$P$47,1,0)</f>
        <v>79685.00532</v>
      </c>
      <c r="DE46" s="54">
        <f>-PMT(Assumptions!$P44/12,Assumptions!$P45*12,Assumptions!$P42)*IF(DE1&gt;Assumptions!$P$47,1,0)</f>
        <v>79685.00532</v>
      </c>
      <c r="DF46" s="54">
        <f>-PMT(Assumptions!$P44/12,Assumptions!$P45*12,Assumptions!$P42)*IF(DF1&gt;Assumptions!$P$47,1,0)</f>
        <v>79685.00532</v>
      </c>
      <c r="DG46" s="54">
        <f>-PMT(Assumptions!$P44/12,Assumptions!$P45*12,Assumptions!$P42)*IF(DG1&gt;Assumptions!$P$47,1,0)</f>
        <v>79685.00532</v>
      </c>
      <c r="DH46" s="54">
        <f>-PMT(Assumptions!$P44/12,Assumptions!$P45*12,Assumptions!$P42)*IF(DH1&gt;Assumptions!$P$47,1,0)</f>
        <v>79685.00532</v>
      </c>
      <c r="DI46" s="54">
        <f>-PMT(Assumptions!$P44/12,Assumptions!$P45*12,Assumptions!$P42)*IF(DI1&gt;Assumptions!$P$47,1,0)</f>
        <v>79685.00532</v>
      </c>
      <c r="DJ46" s="54">
        <f>-PMT(Assumptions!$P44/12,Assumptions!$P45*12,Assumptions!$P42)*IF(DJ1&gt;Assumptions!$P$47,1,0)</f>
        <v>79685.00532</v>
      </c>
      <c r="DK46" s="54">
        <f>-PMT(Assumptions!$P44/12,Assumptions!$P45*12,Assumptions!$P42)*IF(DK1&gt;Assumptions!$P$47,1,0)</f>
        <v>79685.00532</v>
      </c>
      <c r="DL46" s="54">
        <f>-PMT(Assumptions!$P44/12,Assumptions!$P45*12,Assumptions!$P42)*IF(DL1&gt;Assumptions!$P$47,1,0)</f>
        <v>79685.00532</v>
      </c>
      <c r="DM46" s="54">
        <f>-PMT(Assumptions!$P44/12,Assumptions!$P45*12,Assumptions!$P42)*IF(DM1&gt;Assumptions!$P$47,1,0)</f>
        <v>79685.00532</v>
      </c>
      <c r="DN46" s="54">
        <f>-PMT(Assumptions!$P44/12,Assumptions!$P45*12,Assumptions!$P42)*IF(DN1&gt;Assumptions!$P$47,1,0)</f>
        <v>79685.00532</v>
      </c>
      <c r="DO46" s="54">
        <f>-PMT(Assumptions!$P44/12,Assumptions!$P45*12,Assumptions!$P42)*IF(DO1&gt;Assumptions!$P$47,1,0)</f>
        <v>79685.00532</v>
      </c>
      <c r="DP46" s="54">
        <f>-PMT(Assumptions!$P44/12,Assumptions!$P45*12,Assumptions!$P42)*IF(DP1&gt;Assumptions!$P$47,1,0)</f>
        <v>79685.00532</v>
      </c>
      <c r="DQ46" s="54">
        <f>-PMT(Assumptions!$P44/12,Assumptions!$P45*12,Assumptions!$P42)*IF(DQ1&gt;Assumptions!$P$47,1,0)</f>
        <v>79685.00532</v>
      </c>
      <c r="DR46" s="54">
        <f>-PMT(Assumptions!$P44/12,Assumptions!$P45*12,Assumptions!$P42)*IF(DR1&gt;Assumptions!$P$47,1,0)</f>
        <v>79685.00532</v>
      </c>
      <c r="DS46" s="54">
        <f>-PMT(Assumptions!$P44/12,Assumptions!$P45*12,Assumptions!$P42)*IF(DS1&gt;Assumptions!$P$47,1,0)</f>
        <v>79685.00532</v>
      </c>
      <c r="DT46" s="54">
        <f>-PMT(Assumptions!$P44/12,Assumptions!$P45*12,Assumptions!$P42)*IF(DT1&gt;Assumptions!$P$47,1,0)</f>
        <v>79685.00532</v>
      </c>
      <c r="DU46" s="54">
        <f>-PMT(Assumptions!$P44/12,Assumptions!$P45*12,Assumptions!$P42)*IF(DU1&gt;Assumptions!$P$47,1,0)</f>
        <v>79685.00532</v>
      </c>
      <c r="DV46" s="54">
        <f>-PMT(Assumptions!$P44/12,Assumptions!$P45*12,Assumptions!$P42)*IF(DV1&gt;Assumptions!$P$47,1,0)</f>
        <v>79685.00532</v>
      </c>
      <c r="DW46" s="54">
        <f>-PMT(Assumptions!$P44/12,Assumptions!$P45*12,Assumptions!$P42)*IF(DW1&gt;Assumptions!$P$47,1,0)</f>
        <v>79685.00532</v>
      </c>
      <c r="DX46" s="54">
        <f>-PMT(Assumptions!$P44/12,Assumptions!$P45*12,Assumptions!$P42)*IF(DX1&gt;Assumptions!$P$47,1,0)</f>
        <v>79685.00532</v>
      </c>
      <c r="DY46" s="54">
        <f>-PMT(Assumptions!$P44/12,Assumptions!$P45*12,Assumptions!$P42)*IF(DY1&gt;Assumptions!$P$47,1,0)</f>
        <v>79685.00532</v>
      </c>
      <c r="DZ46" s="54">
        <f>-PMT(Assumptions!$P44/12,Assumptions!$P45*12,Assumptions!$P42)*IF(DZ1&gt;Assumptions!$P$47,1,0)</f>
        <v>79685.00532</v>
      </c>
      <c r="EA46" s="54">
        <f>-PMT(Assumptions!$P44/12,Assumptions!$P45*12,Assumptions!$P42)*IF(EA1&gt;Assumptions!$P$47,1,0)</f>
        <v>79685.00532</v>
      </c>
      <c r="EB46" s="54">
        <f>-PMT(Assumptions!$P44/12,Assumptions!$P45*12,Assumptions!$P42)*IF(EB1&gt;Assumptions!$P$47,1,0)</f>
        <v>79685.00532</v>
      </c>
      <c r="EC46" s="54">
        <f>-PMT(Assumptions!$P44/12,Assumptions!$P45*12,Assumptions!$P42)*IF(EC1&gt;Assumptions!$P$47,1,0)</f>
        <v>79685.00532</v>
      </c>
      <c r="ED46" s="54">
        <f>-PMT(Assumptions!$P44/12,Assumptions!$P45*12,Assumptions!$P42)*IF(ED1&gt;Assumptions!$P$47,1,0)</f>
        <v>79685.00532</v>
      </c>
      <c r="EE46" s="54">
        <f>-PMT(Assumptions!$P44/12,Assumptions!$P45*12,Assumptions!$P42)*IF(EE1&gt;Assumptions!$P$47,1,0)</f>
        <v>79685.00532</v>
      </c>
    </row>
    <row r="47" ht="15.75" customHeight="1">
      <c r="A47" s="1"/>
      <c r="B47" s="1"/>
      <c r="C47" s="1" t="s">
        <v>174</v>
      </c>
      <c r="D47" s="54">
        <f t="shared" ref="D47:EE47" si="9">D43-D45</f>
        <v>13759346.8</v>
      </c>
      <c r="E47" s="54">
        <f t="shared" si="9"/>
        <v>13759346.8</v>
      </c>
      <c r="F47" s="54">
        <f t="shared" si="9"/>
        <v>13759346.8</v>
      </c>
      <c r="G47" s="54">
        <f t="shared" si="9"/>
        <v>13759346.8</v>
      </c>
      <c r="H47" s="54">
        <f t="shared" si="9"/>
        <v>13759346.8</v>
      </c>
      <c r="I47" s="54">
        <f t="shared" si="9"/>
        <v>13759346.8</v>
      </c>
      <c r="J47" s="54">
        <f t="shared" si="9"/>
        <v>13759346.8</v>
      </c>
      <c r="K47" s="54">
        <f t="shared" si="9"/>
        <v>13759346.8</v>
      </c>
      <c r="L47" s="54">
        <f t="shared" si="9"/>
        <v>13759346.8</v>
      </c>
      <c r="M47" s="54">
        <f t="shared" si="9"/>
        <v>13759346.8</v>
      </c>
      <c r="N47" s="54">
        <f t="shared" si="9"/>
        <v>13759346.8</v>
      </c>
      <c r="O47" s="54">
        <f t="shared" si="9"/>
        <v>13759346.8</v>
      </c>
      <c r="P47" s="54">
        <f t="shared" si="9"/>
        <v>13759346.8</v>
      </c>
      <c r="Q47" s="54">
        <f t="shared" si="9"/>
        <v>13759346.8</v>
      </c>
      <c r="R47" s="54">
        <f t="shared" si="9"/>
        <v>13759346.8</v>
      </c>
      <c r="S47" s="54">
        <f t="shared" si="9"/>
        <v>13759346.8</v>
      </c>
      <c r="T47" s="54">
        <f t="shared" si="9"/>
        <v>13759346.8</v>
      </c>
      <c r="U47" s="54">
        <f t="shared" si="9"/>
        <v>13759346.8</v>
      </c>
      <c r="V47" s="54">
        <f t="shared" si="9"/>
        <v>13759346.8</v>
      </c>
      <c r="W47" s="54">
        <f t="shared" si="9"/>
        <v>13759346.8</v>
      </c>
      <c r="X47" s="54">
        <f t="shared" si="9"/>
        <v>13759346.8</v>
      </c>
      <c r="Y47" s="54">
        <f t="shared" si="9"/>
        <v>13759346.8</v>
      </c>
      <c r="Z47" s="54">
        <f t="shared" si="9"/>
        <v>13759346.8</v>
      </c>
      <c r="AA47" s="54">
        <f t="shared" si="9"/>
        <v>13759346.8</v>
      </c>
      <c r="AB47" s="54">
        <f t="shared" si="9"/>
        <v>13759346.8</v>
      </c>
      <c r="AC47" s="54">
        <f t="shared" si="9"/>
        <v>13759346.8</v>
      </c>
      <c r="AD47" s="54">
        <f t="shared" si="9"/>
        <v>13759346.8</v>
      </c>
      <c r="AE47" s="54">
        <f t="shared" si="9"/>
        <v>13759346.8</v>
      </c>
      <c r="AF47" s="54">
        <f t="shared" si="9"/>
        <v>13759346.8</v>
      </c>
      <c r="AG47" s="54">
        <f t="shared" si="9"/>
        <v>13759346.8</v>
      </c>
      <c r="AH47" s="54">
        <f t="shared" si="9"/>
        <v>13759346.8</v>
      </c>
      <c r="AI47" s="54">
        <f t="shared" si="9"/>
        <v>13759346.8</v>
      </c>
      <c r="AJ47" s="54">
        <f t="shared" si="9"/>
        <v>13759346.8</v>
      </c>
      <c r="AK47" s="54">
        <f t="shared" si="9"/>
        <v>13759346.8</v>
      </c>
      <c r="AL47" s="54">
        <f t="shared" si="9"/>
        <v>13759346.8</v>
      </c>
      <c r="AM47" s="54">
        <f t="shared" si="9"/>
        <v>13759346.8</v>
      </c>
      <c r="AN47" s="54">
        <f t="shared" si="9"/>
        <v>13744789.37</v>
      </c>
      <c r="AO47" s="54">
        <f t="shared" si="9"/>
        <v>13730163.03</v>
      </c>
      <c r="AP47" s="54">
        <f t="shared" si="9"/>
        <v>13715467.47</v>
      </c>
      <c r="AQ47" s="54">
        <f t="shared" si="9"/>
        <v>13700702.34</v>
      </c>
      <c r="AR47" s="54">
        <f t="shared" si="9"/>
        <v>13685867.33</v>
      </c>
      <c r="AS47" s="54">
        <f t="shared" si="9"/>
        <v>13670962.09</v>
      </c>
      <c r="AT47" s="54">
        <f t="shared" si="9"/>
        <v>13655986.31</v>
      </c>
      <c r="AU47" s="54">
        <f t="shared" si="9"/>
        <v>13640939.64</v>
      </c>
      <c r="AV47" s="54">
        <f t="shared" si="9"/>
        <v>13625821.75</v>
      </c>
      <c r="AW47" s="54">
        <f t="shared" si="9"/>
        <v>13610632.3</v>
      </c>
      <c r="AX47" s="54">
        <f t="shared" si="9"/>
        <v>13595370.95</v>
      </c>
      <c r="AY47" s="54">
        <f t="shared" si="9"/>
        <v>13580037.37</v>
      </c>
      <c r="AZ47" s="54">
        <f t="shared" si="9"/>
        <v>13564631.21</v>
      </c>
      <c r="BA47" s="54">
        <f t="shared" si="9"/>
        <v>13549152.12</v>
      </c>
      <c r="BB47" s="54">
        <f t="shared" si="9"/>
        <v>13533599.77</v>
      </c>
      <c r="BC47" s="54">
        <f t="shared" si="9"/>
        <v>13517973.8</v>
      </c>
      <c r="BD47" s="54">
        <f t="shared" si="9"/>
        <v>13502273.88</v>
      </c>
      <c r="BE47" s="54">
        <f t="shared" si="9"/>
        <v>13486499.63</v>
      </c>
      <c r="BF47" s="54">
        <f t="shared" si="9"/>
        <v>13470650.73</v>
      </c>
      <c r="BG47" s="54">
        <f t="shared" si="9"/>
        <v>13454726.8</v>
      </c>
      <c r="BH47" s="54">
        <f t="shared" si="9"/>
        <v>13438727.5</v>
      </c>
      <c r="BI47" s="54">
        <f t="shared" si="9"/>
        <v>13422652.47</v>
      </c>
      <c r="BJ47" s="54">
        <f t="shared" si="9"/>
        <v>13406501.36</v>
      </c>
      <c r="BK47" s="54">
        <f t="shared" si="9"/>
        <v>13390273.79</v>
      </c>
      <c r="BL47" s="54">
        <f t="shared" si="9"/>
        <v>13373969.42</v>
      </c>
      <c r="BM47" s="54">
        <f t="shared" si="9"/>
        <v>13357587.87</v>
      </c>
      <c r="BN47" s="54">
        <f t="shared" si="9"/>
        <v>13341128.78</v>
      </c>
      <c r="BO47" s="54">
        <f t="shared" si="9"/>
        <v>13324591.78</v>
      </c>
      <c r="BP47" s="54">
        <f t="shared" si="9"/>
        <v>13307976.51</v>
      </c>
      <c r="BQ47" s="54">
        <f t="shared" si="9"/>
        <v>13291282.59</v>
      </c>
      <c r="BR47" s="54">
        <f t="shared" si="9"/>
        <v>13274509.66</v>
      </c>
      <c r="BS47" s="54">
        <f t="shared" si="9"/>
        <v>13257657.33</v>
      </c>
      <c r="BT47" s="54">
        <f t="shared" si="9"/>
        <v>13240725.24</v>
      </c>
      <c r="BU47" s="54">
        <f t="shared" si="9"/>
        <v>13223713</v>
      </c>
      <c r="BV47" s="54">
        <f t="shared" si="9"/>
        <v>13206620.23</v>
      </c>
      <c r="BW47" s="54">
        <f t="shared" si="9"/>
        <v>13189446.57</v>
      </c>
      <c r="BX47" s="54">
        <f t="shared" si="9"/>
        <v>13172191.61</v>
      </c>
      <c r="BY47" s="54">
        <f t="shared" si="9"/>
        <v>13154854.98</v>
      </c>
      <c r="BZ47" s="54">
        <f t="shared" si="9"/>
        <v>13137436.28</v>
      </c>
      <c r="CA47" s="54">
        <f t="shared" si="9"/>
        <v>13119935.14</v>
      </c>
      <c r="CB47" s="54">
        <f t="shared" si="9"/>
        <v>13102351.16</v>
      </c>
      <c r="CC47" s="54">
        <f t="shared" si="9"/>
        <v>13084683.95</v>
      </c>
      <c r="CD47" s="54">
        <f t="shared" si="9"/>
        <v>13066933.12</v>
      </c>
      <c r="CE47" s="54">
        <f t="shared" si="9"/>
        <v>13049098.26</v>
      </c>
      <c r="CF47" s="54">
        <f t="shared" si="9"/>
        <v>13031178.99</v>
      </c>
      <c r="CG47" s="54">
        <f t="shared" si="9"/>
        <v>13013174.9</v>
      </c>
      <c r="CH47" s="54">
        <f t="shared" si="9"/>
        <v>12995085.59</v>
      </c>
      <c r="CI47" s="54">
        <f t="shared" si="9"/>
        <v>12976910.66</v>
      </c>
      <c r="CJ47" s="54">
        <f t="shared" si="9"/>
        <v>12958649.69</v>
      </c>
      <c r="CK47" s="54">
        <f t="shared" si="9"/>
        <v>12940302.3</v>
      </c>
      <c r="CL47" s="54">
        <f t="shared" si="9"/>
        <v>12921868.06</v>
      </c>
      <c r="CM47" s="54">
        <f t="shared" si="9"/>
        <v>12903346.56</v>
      </c>
      <c r="CN47" s="54">
        <f t="shared" si="9"/>
        <v>12884737.39</v>
      </c>
      <c r="CO47" s="54">
        <f t="shared" si="9"/>
        <v>12866040.15</v>
      </c>
      <c r="CP47" s="54">
        <f t="shared" si="9"/>
        <v>12847254.4</v>
      </c>
      <c r="CQ47" s="54">
        <f t="shared" si="9"/>
        <v>12828379.73</v>
      </c>
      <c r="CR47" s="54">
        <f t="shared" si="9"/>
        <v>12809415.72</v>
      </c>
      <c r="CS47" s="54">
        <f t="shared" si="9"/>
        <v>12790361.95</v>
      </c>
      <c r="CT47" s="54">
        <f t="shared" si="9"/>
        <v>12771217.99</v>
      </c>
      <c r="CU47" s="54">
        <f t="shared" si="9"/>
        <v>12751983.42</v>
      </c>
      <c r="CV47" s="54">
        <f t="shared" si="9"/>
        <v>12732657.8</v>
      </c>
      <c r="CW47" s="54">
        <f t="shared" si="9"/>
        <v>12713240.71</v>
      </c>
      <c r="CX47" s="54">
        <f t="shared" si="9"/>
        <v>12693731.71</v>
      </c>
      <c r="CY47" s="54">
        <f t="shared" si="9"/>
        <v>12674130.37</v>
      </c>
      <c r="CZ47" s="54">
        <f t="shared" si="9"/>
        <v>12654436.25</v>
      </c>
      <c r="DA47" s="54">
        <f t="shared" si="9"/>
        <v>12634648.91</v>
      </c>
      <c r="DB47" s="54">
        <f t="shared" si="9"/>
        <v>12614767.91</v>
      </c>
      <c r="DC47" s="54">
        <f t="shared" si="9"/>
        <v>12594792.8</v>
      </c>
      <c r="DD47" s="54">
        <f t="shared" si="9"/>
        <v>12574723.15</v>
      </c>
      <c r="DE47" s="54">
        <f t="shared" si="9"/>
        <v>12554558.5</v>
      </c>
      <c r="DF47" s="54">
        <f t="shared" si="9"/>
        <v>12534298.41</v>
      </c>
      <c r="DG47" s="54">
        <f t="shared" si="9"/>
        <v>12513942.41</v>
      </c>
      <c r="DH47" s="54">
        <f t="shared" si="9"/>
        <v>12493490.07</v>
      </c>
      <c r="DI47" s="54">
        <f t="shared" si="9"/>
        <v>12472940.92</v>
      </c>
      <c r="DJ47" s="54">
        <f t="shared" si="9"/>
        <v>12452294.5</v>
      </c>
      <c r="DK47" s="54">
        <f t="shared" si="9"/>
        <v>12431550.35</v>
      </c>
      <c r="DL47" s="54">
        <f t="shared" si="9"/>
        <v>12410708.02</v>
      </c>
      <c r="DM47" s="54">
        <f t="shared" si="9"/>
        <v>12389767.03</v>
      </c>
      <c r="DN47" s="54">
        <f t="shared" si="9"/>
        <v>12368726.92</v>
      </c>
      <c r="DO47" s="54">
        <f t="shared" si="9"/>
        <v>12347587.23</v>
      </c>
      <c r="DP47" s="54">
        <f t="shared" si="9"/>
        <v>12326347.47</v>
      </c>
      <c r="DQ47" s="54">
        <f t="shared" si="9"/>
        <v>12305007.17</v>
      </c>
      <c r="DR47" s="54">
        <f t="shared" si="9"/>
        <v>12283565.87</v>
      </c>
      <c r="DS47" s="54">
        <f t="shared" si="9"/>
        <v>12262023.07</v>
      </c>
      <c r="DT47" s="54">
        <f t="shared" si="9"/>
        <v>12240378.31</v>
      </c>
      <c r="DU47" s="54">
        <f t="shared" si="9"/>
        <v>12218631.1</v>
      </c>
      <c r="DV47" s="54">
        <f t="shared" si="9"/>
        <v>12196780.95</v>
      </c>
      <c r="DW47" s="54">
        <f t="shared" si="9"/>
        <v>12174827.37</v>
      </c>
      <c r="DX47" s="54">
        <f t="shared" si="9"/>
        <v>12152769.88</v>
      </c>
      <c r="DY47" s="54">
        <f t="shared" si="9"/>
        <v>12130607.99</v>
      </c>
      <c r="DZ47" s="54">
        <f t="shared" si="9"/>
        <v>12108341.19</v>
      </c>
      <c r="EA47" s="54">
        <f t="shared" si="9"/>
        <v>12085969</v>
      </c>
      <c r="EB47" s="54">
        <f t="shared" si="9"/>
        <v>12063490.92</v>
      </c>
      <c r="EC47" s="54">
        <f t="shared" si="9"/>
        <v>12040906.44</v>
      </c>
      <c r="ED47" s="54">
        <f t="shared" si="9"/>
        <v>12018215.05</v>
      </c>
      <c r="EE47" s="54">
        <f t="shared" si="9"/>
        <v>11995416.27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9" t="s">
        <v>198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199</v>
      </c>
      <c r="D50" s="54">
        <f>SUM(E38:P38)/Assumptions!$L64*IF(D1=Assumptions!$L68*12,1,0)</f>
        <v>0</v>
      </c>
      <c r="E50" s="54">
        <f>SUM(F38:Q38)/Assumptions!$L64*IF(E1=Assumptions!$L68*12,1,0)</f>
        <v>0</v>
      </c>
      <c r="F50" s="54">
        <f>SUM(G38:R38)/Assumptions!$L64*IF(F1=Assumptions!$L68*12,1,0)</f>
        <v>0</v>
      </c>
      <c r="G50" s="54">
        <f>SUM(H38:S38)/Assumptions!$L64*IF(G1=Assumptions!$L68*12,1,0)</f>
        <v>0</v>
      </c>
      <c r="H50" s="54">
        <f>SUM(I38:T38)/Assumptions!$L64*IF(H1=Assumptions!$L68*12,1,0)</f>
        <v>0</v>
      </c>
      <c r="I50" s="54">
        <f>SUM(J38:U38)/Assumptions!$L64*IF(I1=Assumptions!$L68*12,1,0)</f>
        <v>0</v>
      </c>
      <c r="J50" s="54">
        <f>SUM(K38:V38)/Assumptions!$L64*IF(J1=Assumptions!$L68*12,1,0)</f>
        <v>0</v>
      </c>
      <c r="K50" s="54">
        <f>SUM(L38:W38)/Assumptions!$L64*IF(K1=Assumptions!$L68*12,1,0)</f>
        <v>0</v>
      </c>
      <c r="L50" s="54">
        <f>SUM(M38:X38)/Assumptions!$L64*IF(L1=Assumptions!$L68*12,1,0)</f>
        <v>0</v>
      </c>
      <c r="M50" s="54">
        <f>SUM(N38:Y38)/Assumptions!$L64*IF(M1=Assumptions!$L68*12,1,0)</f>
        <v>0</v>
      </c>
      <c r="N50" s="54">
        <f>SUM(O38:Z38)/Assumptions!$L64*IF(N1=Assumptions!$L68*12,1,0)</f>
        <v>0</v>
      </c>
      <c r="O50" s="54">
        <f>SUM(P38:AA38)/Assumptions!$L64*IF(O1=Assumptions!$L68*12,1,0)</f>
        <v>0</v>
      </c>
      <c r="P50" s="54">
        <f>SUM(Q38:AB38)/Assumptions!$L64*IF(P1=Assumptions!$L68*12,1,0)</f>
        <v>0</v>
      </c>
      <c r="Q50" s="54">
        <f>SUM(R38:AC38)/Assumptions!$L64*IF(Q1=Assumptions!$L68*12,1,0)</f>
        <v>0</v>
      </c>
      <c r="R50" s="54">
        <f>SUM(S38:AD38)/Assumptions!$L64*IF(R1=Assumptions!$L68*12,1,0)</f>
        <v>0</v>
      </c>
      <c r="S50" s="54">
        <f>SUM(T38:AE38)/Assumptions!$L64*IF(S1=Assumptions!$L68*12,1,0)</f>
        <v>0</v>
      </c>
      <c r="T50" s="54">
        <f>SUM(U38:AF38)/Assumptions!$L64*IF(T1=Assumptions!$L68*12,1,0)</f>
        <v>0</v>
      </c>
      <c r="U50" s="54">
        <f>SUM(V38:AG38)/Assumptions!$L64*IF(U1=Assumptions!$L68*12,1,0)</f>
        <v>0</v>
      </c>
      <c r="V50" s="54">
        <f>SUM(W38:AH38)/Assumptions!$L64*IF(V1=Assumptions!$L68*12,1,0)</f>
        <v>0</v>
      </c>
      <c r="W50" s="54">
        <f>SUM(X38:AI38)/Assumptions!$L64*IF(W1=Assumptions!$L68*12,1,0)</f>
        <v>0</v>
      </c>
      <c r="X50" s="54">
        <f>SUM(Y38:AJ38)/Assumptions!$L64*IF(X1=Assumptions!$L68*12,1,0)</f>
        <v>0</v>
      </c>
      <c r="Y50" s="54">
        <f>SUM(Z38:AK38)/Assumptions!$L64*IF(Y1=Assumptions!$L68*12,1,0)</f>
        <v>0</v>
      </c>
      <c r="Z50" s="54">
        <f>SUM(AA38:AL38)/Assumptions!$L64*IF(Z1=Assumptions!$L68*12,1,0)</f>
        <v>0</v>
      </c>
      <c r="AA50" s="54">
        <f>SUM(AB38:AM38)/Assumptions!$L64*IF(AA1=Assumptions!$L68*12,1,0)</f>
        <v>0</v>
      </c>
      <c r="AB50" s="54">
        <f>SUM(AC38:AN38)/Assumptions!$L64*IF(AB1=Assumptions!$L68*12,1,0)</f>
        <v>0</v>
      </c>
      <c r="AC50" s="54">
        <f>SUM(AD38:AO38)/Assumptions!$L64*IF(AC1=Assumptions!$L68*12,1,0)</f>
        <v>0</v>
      </c>
      <c r="AD50" s="54">
        <f>SUM(AE38:AP38)/Assumptions!$L64*IF(AD1=Assumptions!$L68*12,1,0)</f>
        <v>0</v>
      </c>
      <c r="AE50" s="54">
        <f>SUM(AF38:AQ38)/Assumptions!$L64*IF(AE1=Assumptions!$L68*12,1,0)</f>
        <v>0</v>
      </c>
      <c r="AF50" s="54">
        <f>SUM(AG38:AR38)/Assumptions!$L64*IF(AF1=Assumptions!$L68*12,1,0)</f>
        <v>0</v>
      </c>
      <c r="AG50" s="54">
        <f>SUM(AH38:AS38)/Assumptions!$L64*IF(AG1=Assumptions!$L68*12,1,0)</f>
        <v>0</v>
      </c>
      <c r="AH50" s="54">
        <f>SUM(AI38:AT38)/Assumptions!$L64*IF(AH1=Assumptions!$L68*12,1,0)</f>
        <v>0</v>
      </c>
      <c r="AI50" s="54">
        <f>SUM(AJ38:AU38)/Assumptions!$L64*IF(AI1=Assumptions!$L68*12,1,0)</f>
        <v>0</v>
      </c>
      <c r="AJ50" s="54">
        <f>SUM(AK38:AV38)/Assumptions!$L64*IF(AJ1=Assumptions!$L68*12,1,0)</f>
        <v>0</v>
      </c>
      <c r="AK50" s="54">
        <f>SUM(AL38:AW38)/Assumptions!$L64*IF(AK1=Assumptions!$L68*12,1,0)</f>
        <v>0</v>
      </c>
      <c r="AL50" s="54">
        <f>SUM(AM38:AX38)/Assumptions!$L64*IF(AL1=Assumptions!$L68*12,1,0)</f>
        <v>0</v>
      </c>
      <c r="AM50" s="54">
        <f>SUM(AN38:AY38)/Assumptions!$L64*IF(AM1=Assumptions!$L68*12,1,0)</f>
        <v>0</v>
      </c>
      <c r="AN50" s="54">
        <f>SUM(AO38:AZ38)/Assumptions!$L64*IF(AN1=Assumptions!$L68*12,1,0)</f>
        <v>0</v>
      </c>
      <c r="AO50" s="54">
        <f>SUM(AP38:BA38)/Assumptions!$L64*IF(AO1=Assumptions!$L68*12,1,0)</f>
        <v>0</v>
      </c>
      <c r="AP50" s="54">
        <f>SUM(AQ38:BB38)/Assumptions!$L64*IF(AP1=Assumptions!$L68*12,1,0)</f>
        <v>0</v>
      </c>
      <c r="AQ50" s="54">
        <f>SUM(AR38:BC38)/Assumptions!$L64*IF(AQ1=Assumptions!$L68*12,1,0)</f>
        <v>0</v>
      </c>
      <c r="AR50" s="54">
        <f>SUM(AS38:BD38)/Assumptions!$L64*IF(AR1=Assumptions!$L68*12,1,0)</f>
        <v>0</v>
      </c>
      <c r="AS50" s="54">
        <f>SUM(AT38:BE38)/Assumptions!$L64*IF(AS1=Assumptions!$L68*12,1,0)</f>
        <v>0</v>
      </c>
      <c r="AT50" s="54">
        <f>SUM(AU38:BF38)/Assumptions!$L64*IF(AT1=Assumptions!$L68*12,1,0)</f>
        <v>0</v>
      </c>
      <c r="AU50" s="54">
        <f>SUM(AV38:BG38)/Assumptions!$L64*IF(AU1=Assumptions!$L68*12,1,0)</f>
        <v>0</v>
      </c>
      <c r="AV50" s="54">
        <f>SUM(AW38:BH38)/Assumptions!$L64*IF(AV1=Assumptions!$L68*12,1,0)</f>
        <v>0</v>
      </c>
      <c r="AW50" s="54">
        <f>SUM(AX38:BI38)/Assumptions!$L64*IF(AW1=Assumptions!$L68*12,1,0)</f>
        <v>0</v>
      </c>
      <c r="AX50" s="54">
        <f>SUM(AY38:BJ38)/Assumptions!$L64*IF(AX1=Assumptions!$L68*12,1,0)</f>
        <v>0</v>
      </c>
      <c r="AY50" s="54">
        <f>SUM(AZ38:BK38)/Assumptions!$L64*IF(AY1=Assumptions!$L68*12,1,0)</f>
        <v>0</v>
      </c>
      <c r="AZ50" s="54">
        <f>SUM(BA38:BL38)/Assumptions!$L64*IF(AZ1=Assumptions!$L68*12,1,0)</f>
        <v>0</v>
      </c>
      <c r="BA50" s="54">
        <f>SUM(BB38:BM38)/Assumptions!$L64*IF(BA1=Assumptions!$L68*12,1,0)</f>
        <v>0</v>
      </c>
      <c r="BB50" s="54">
        <f>SUM(BC38:BN38)/Assumptions!$L64*IF(BB1=Assumptions!$L68*12,1,0)</f>
        <v>0</v>
      </c>
      <c r="BC50" s="54">
        <f>SUM(BD38:BO38)/Assumptions!$L64*IF(BC1=Assumptions!$L68*12,1,0)</f>
        <v>0</v>
      </c>
      <c r="BD50" s="54">
        <f>SUM(BE38:BP38)/Assumptions!$L64*IF(BD1=Assumptions!$L68*12,1,0)</f>
        <v>0</v>
      </c>
      <c r="BE50" s="54">
        <f>SUM(BF38:BQ38)/Assumptions!$L64*IF(BE1=Assumptions!$L68*12,1,0)</f>
        <v>0</v>
      </c>
      <c r="BF50" s="54">
        <f>SUM(BG38:BR38)/Assumptions!$L64*IF(BF1=Assumptions!$L68*12,1,0)</f>
        <v>0</v>
      </c>
      <c r="BG50" s="54">
        <f>SUM(BH38:BS38)/Assumptions!$L64*IF(BG1=Assumptions!$L68*12,1,0)</f>
        <v>0</v>
      </c>
      <c r="BH50" s="54">
        <f>SUM(BI38:BT38)/Assumptions!$L64*IF(BH1=Assumptions!$L68*12,1,0)</f>
        <v>0</v>
      </c>
      <c r="BI50" s="54">
        <f>SUM(BJ38:BU38)/Assumptions!$L64*IF(BI1=Assumptions!$L68*12,1,0)</f>
        <v>0</v>
      </c>
      <c r="BJ50" s="54">
        <f>SUM(BK38:BV38)/Assumptions!$L64*IF(BJ1=Assumptions!$L68*12,1,0)</f>
        <v>0</v>
      </c>
      <c r="BK50" s="54">
        <f>SUM(BL38:BW38)/Assumptions!$L64*IF(BK1=Assumptions!$L68*12,1,0)</f>
        <v>0</v>
      </c>
      <c r="BL50" s="54">
        <f>SUM(BM38:BX38)/Assumptions!$L64*IF(BL1=Assumptions!$L68*12,1,0)</f>
        <v>0</v>
      </c>
      <c r="BM50" s="54">
        <f>SUM(BN38:BY38)/Assumptions!$L64*IF(BM1=Assumptions!$L68*12,1,0)</f>
        <v>0</v>
      </c>
      <c r="BN50" s="54">
        <f>SUM(BO38:BZ38)/Assumptions!$L64*IF(BN1=Assumptions!$L68*12,1,0)</f>
        <v>0</v>
      </c>
      <c r="BO50" s="54">
        <f>SUM(BP38:CA38)/Assumptions!$L64*IF(BO1=Assumptions!$L68*12,1,0)</f>
        <v>0</v>
      </c>
      <c r="BP50" s="54">
        <f>SUM(BQ38:CB38)/Assumptions!$L64*IF(BP1=Assumptions!$L68*12,1,0)</f>
        <v>0</v>
      </c>
      <c r="BQ50" s="54">
        <f>SUM(BR38:CC38)/Assumptions!$L64*IF(BQ1=Assumptions!$L68*12,1,0)</f>
        <v>0</v>
      </c>
      <c r="BR50" s="54">
        <f>SUM(BS38:CD38)/Assumptions!$L64*IF(BR1=Assumptions!$L68*12,1,0)</f>
        <v>0</v>
      </c>
      <c r="BS50" s="54">
        <f>SUM(BT38:CE38)/Assumptions!$L64*IF(BS1=Assumptions!$L68*12,1,0)</f>
        <v>0</v>
      </c>
      <c r="BT50" s="54">
        <f>SUM(BU38:CF38)/Assumptions!$L64*IF(BT1=Assumptions!$L68*12,1,0)</f>
        <v>0</v>
      </c>
      <c r="BU50" s="54">
        <f>SUM(BV38:CG38)/Assumptions!$L64*IF(BU1=Assumptions!$L68*12,1,0)</f>
        <v>0</v>
      </c>
      <c r="BV50" s="54">
        <f>SUM(BW38:CH38)/Assumptions!$L64*IF(BV1=Assumptions!$L68*12,1,0)</f>
        <v>0</v>
      </c>
      <c r="BW50" s="54">
        <f>SUM(BX38:CI38)/Assumptions!$L64*IF(BW1=Assumptions!$L68*12,1,0)</f>
        <v>0</v>
      </c>
      <c r="BX50" s="54">
        <f>SUM(BY38:CJ38)/Assumptions!$L64*IF(BX1=Assumptions!$L68*12,1,0)</f>
        <v>0</v>
      </c>
      <c r="BY50" s="54">
        <f>SUM(BZ38:CK38)/Assumptions!$L64*IF(BY1=Assumptions!$L68*12,1,0)</f>
        <v>0</v>
      </c>
      <c r="BZ50" s="54">
        <f>SUM(CA38:CL38)/Assumptions!$L64*IF(BZ1=Assumptions!$L68*12,1,0)</f>
        <v>0</v>
      </c>
      <c r="CA50" s="54">
        <f>SUM(CB38:CM38)/Assumptions!$L64*IF(CA1=Assumptions!$L68*12,1,0)</f>
        <v>0</v>
      </c>
      <c r="CB50" s="54">
        <f>SUM(CC38:CN38)/Assumptions!$L64*IF(CB1=Assumptions!$L68*12,1,0)</f>
        <v>0</v>
      </c>
      <c r="CC50" s="54">
        <f>SUM(CD38:CO38)/Assumptions!$L64*IF(CC1=Assumptions!$L68*12,1,0)</f>
        <v>0</v>
      </c>
      <c r="CD50" s="54">
        <f>SUM(CE38:CP38)/Assumptions!$L64*IF(CD1=Assumptions!$L68*12,1,0)</f>
        <v>0</v>
      </c>
      <c r="CE50" s="54">
        <f>SUM(CF38:CQ38)/Assumptions!$L64*IF(CE1=Assumptions!$L68*12,1,0)</f>
        <v>0</v>
      </c>
      <c r="CF50" s="54">
        <f>SUM(CG38:CR38)/Assumptions!$L64*IF(CF1=Assumptions!$L68*12,1,0)</f>
        <v>0</v>
      </c>
      <c r="CG50" s="54">
        <f>SUM(CH38:CS38)/Assumptions!$L64*IF(CG1=Assumptions!$L68*12,1,0)</f>
        <v>0</v>
      </c>
      <c r="CH50" s="54">
        <f>SUM(CI38:CT38)/Assumptions!$L64*IF(CH1=Assumptions!$L68*12,1,0)</f>
        <v>0</v>
      </c>
      <c r="CI50" s="54">
        <f>SUM(CJ38:CU38)/Assumptions!$L64*IF(CI1=Assumptions!$L68*12,1,0)</f>
        <v>0</v>
      </c>
      <c r="CJ50" s="54">
        <f>SUM(CK38:CV38)/Assumptions!$L64*IF(CJ1=Assumptions!$L68*12,1,0)</f>
        <v>0</v>
      </c>
      <c r="CK50" s="54">
        <f>SUM(CL38:CW38)/Assumptions!$L64*IF(CK1=Assumptions!$L68*12,1,0)</f>
        <v>0</v>
      </c>
      <c r="CL50" s="54">
        <f>SUM(CM38:CX38)/Assumptions!$L64*IF(CL1=Assumptions!$L68*12,1,0)</f>
        <v>0</v>
      </c>
      <c r="CM50" s="54">
        <f>SUM(CN38:CY38)/Assumptions!$L64*IF(CM1=Assumptions!$L68*12,1,0)</f>
        <v>0</v>
      </c>
      <c r="CN50" s="54">
        <f>SUM(CO38:CZ38)/Assumptions!$L64*IF(CN1=Assumptions!$L68*12,1,0)</f>
        <v>0</v>
      </c>
      <c r="CO50" s="54">
        <f>SUM(CP38:DA38)/Assumptions!$L64*IF(CO1=Assumptions!$L68*12,1,0)</f>
        <v>0</v>
      </c>
      <c r="CP50" s="54">
        <f>SUM(CQ38:DB38)/Assumptions!$L64*IF(CP1=Assumptions!$L68*12,1,0)</f>
        <v>0</v>
      </c>
      <c r="CQ50" s="54">
        <f>SUM(CR38:DC38)/Assumptions!$L64*IF(CQ1=Assumptions!$L68*12,1,0)</f>
        <v>0</v>
      </c>
      <c r="CR50" s="54">
        <f>SUM(CS38:DD38)/Assumptions!$L64*IF(CR1=Assumptions!$L68*12,1,0)</f>
        <v>0</v>
      </c>
      <c r="CS50" s="54">
        <f>SUM(CT38:DE38)/Assumptions!$L64*IF(CS1=Assumptions!$L68*12,1,0)</f>
        <v>0</v>
      </c>
      <c r="CT50" s="54">
        <f>SUM(CU38:DF38)/Assumptions!$L64*IF(CT1=Assumptions!$L68*12,1,0)</f>
        <v>0</v>
      </c>
      <c r="CU50" s="54">
        <f>SUM(CV38:DG38)/Assumptions!$L64*IF(CU1=Assumptions!$L68*12,1,0)</f>
        <v>0</v>
      </c>
      <c r="CV50" s="54">
        <f>SUM(CW38:DH38)/Assumptions!$L64*IF(CV1=Assumptions!$L68*12,1,0)</f>
        <v>0</v>
      </c>
      <c r="CW50" s="54">
        <f>SUM(CX38:DI38)/Assumptions!$L64*IF(CW1=Assumptions!$L68*12,1,0)</f>
        <v>0</v>
      </c>
      <c r="CX50" s="54">
        <f>SUM(CY38:DJ38)/Assumptions!$L64*IF(CX1=Assumptions!$L68*12,1,0)</f>
        <v>0</v>
      </c>
      <c r="CY50" s="54">
        <f>SUM(CZ38:DK38)/Assumptions!$L64*IF(CY1=Assumptions!$L68*12,1,0)</f>
        <v>0</v>
      </c>
      <c r="CZ50" s="54">
        <f>SUM(DA38:DL38)/Assumptions!$L64*IF(CZ1=Assumptions!$L68*12,1,0)</f>
        <v>0</v>
      </c>
      <c r="DA50" s="54">
        <f>SUM(DB38:DM38)/Assumptions!$L64*IF(DA1=Assumptions!$L68*12,1,0)</f>
        <v>0</v>
      </c>
      <c r="DB50" s="54">
        <f>SUM(DC38:DN38)/Assumptions!$L64*IF(DB1=Assumptions!$L68*12,1,0)</f>
        <v>0</v>
      </c>
      <c r="DC50" s="54">
        <f>SUM(DD38:DO38)/Assumptions!$L64*IF(DC1=Assumptions!$L68*12,1,0)</f>
        <v>0</v>
      </c>
      <c r="DD50" s="54">
        <f>SUM(DE38:DP38)/Assumptions!$L64*IF(DD1=Assumptions!$L68*12,1,0)</f>
        <v>0</v>
      </c>
      <c r="DE50" s="54">
        <f>SUM(DF38:DQ38)/Assumptions!$L64*IF(DE1=Assumptions!$L68*12,1,0)</f>
        <v>0</v>
      </c>
      <c r="DF50" s="54">
        <f>SUM(DG38:DR38)/Assumptions!$L64*IF(DF1=Assumptions!$L68*12,1,0)</f>
        <v>0</v>
      </c>
      <c r="DG50" s="54">
        <f>SUM(DH38:DS38)/Assumptions!$L64*IF(DG1=Assumptions!$L68*12,1,0)</f>
        <v>0</v>
      </c>
      <c r="DH50" s="54">
        <f>SUM(DI38:DT38)/Assumptions!$L64*IF(DH1=Assumptions!$L68*12,1,0)</f>
        <v>0</v>
      </c>
      <c r="DI50" s="54">
        <f>SUM(DJ38:DU38)/Assumptions!$L64*IF(DI1=Assumptions!$L68*12,1,0)</f>
        <v>0</v>
      </c>
      <c r="DJ50" s="54">
        <f>SUM(DK38:DV38)/Assumptions!$L64*IF(DJ1=Assumptions!$L68*12,1,0)</f>
        <v>0</v>
      </c>
      <c r="DK50" s="54">
        <f>SUM(DL38:DW38)/Assumptions!$L64*IF(DK1=Assumptions!$L68*12,1,0)</f>
        <v>0</v>
      </c>
      <c r="DL50" s="54">
        <f>SUM(DM38:DX38)/Assumptions!$L64*IF(DL1=Assumptions!$L68*12,1,0)</f>
        <v>0</v>
      </c>
      <c r="DM50" s="54">
        <f>SUM(DN38:DY38)/Assumptions!$L64*IF(DM1=Assumptions!$L68*12,1,0)</f>
        <v>0</v>
      </c>
      <c r="DN50" s="54">
        <f>SUM(DO38:DZ38)/Assumptions!$L64*IF(DN1=Assumptions!$L68*12,1,0)</f>
        <v>0</v>
      </c>
      <c r="DO50" s="54">
        <f>SUM(DP38:EA38)/Assumptions!$L64*IF(DO1=Assumptions!$L68*12,1,0)</f>
        <v>0</v>
      </c>
      <c r="DP50" s="54">
        <f>SUM(DQ38:EB38)/Assumptions!$L64*IF(DP1=Assumptions!$L68*12,1,0)</f>
        <v>0</v>
      </c>
      <c r="DQ50" s="54">
        <f>SUM(DR38:EC38)/Assumptions!$L64*IF(DQ1=Assumptions!$L68*12,1,0)</f>
        <v>0</v>
      </c>
      <c r="DR50" s="54">
        <f>SUM(DS38:ED38)/Assumptions!$L64*IF(DR1=Assumptions!$L68*12,1,0)</f>
        <v>0</v>
      </c>
      <c r="DS50" s="54">
        <f>SUM(DT38:EE38)/Assumptions!$L64*IF(DS1=Assumptions!$L68*12,1,0)</f>
        <v>30287221.6</v>
      </c>
      <c r="DT50" s="54">
        <f>SUM(DU38:EF38)/Assumptions!$L64*IF(DT1=Assumptions!$L68*12,1,0)</f>
        <v>0</v>
      </c>
      <c r="DU50" s="54">
        <f>SUM(DV38:EG38)/Assumptions!$L64*IF(DU1=Assumptions!$L68*12,1,0)</f>
        <v>0</v>
      </c>
      <c r="DV50" s="54">
        <f>SUM(DW38:EH38)/Assumptions!$L64*IF(DV1=Assumptions!$L68*12,1,0)</f>
        <v>0</v>
      </c>
      <c r="DW50" s="54">
        <f>SUM(DX38:EI38)/Assumptions!$L64*IF(DW1=Assumptions!$L68*12,1,0)</f>
        <v>0</v>
      </c>
      <c r="DX50" s="54">
        <f>SUM(DY38:EJ38)/Assumptions!$L64*IF(DX1=Assumptions!$L68*12,1,0)</f>
        <v>0</v>
      </c>
      <c r="DY50" s="54">
        <f>SUM(DZ38:EK38)/Assumptions!$L64*IF(DY1=Assumptions!$L68*12,1,0)</f>
        <v>0</v>
      </c>
      <c r="DZ50" s="54">
        <f>SUM(EA38:EL38)/Assumptions!$L64*IF(DZ1=Assumptions!$L68*12,1,0)</f>
        <v>0</v>
      </c>
      <c r="EA50" s="54">
        <f>SUM(EB38:EM38)/Assumptions!$L64*IF(EA1=Assumptions!$L68*12,1,0)</f>
        <v>0</v>
      </c>
      <c r="EB50" s="54">
        <f>SUM(EC38:EN38)/Assumptions!$L64*IF(EB1=Assumptions!$L68*12,1,0)</f>
        <v>0</v>
      </c>
      <c r="EC50" s="54">
        <f>SUM(ED38:EO38)/Assumptions!$L64*IF(EC1=Assumptions!$L68*12,1,0)</f>
        <v>0</v>
      </c>
      <c r="ED50" s="54">
        <f>SUM(EE38:EP38)/Assumptions!$L64*IF(ED1=Assumptions!$L68*12,1,0)</f>
        <v>0</v>
      </c>
      <c r="EE50" s="54">
        <f>SUM(EF38:EQ38)/Assumptions!$L64*IF(EE1=Assumptions!$L68*12,1,0)</f>
        <v>0</v>
      </c>
    </row>
    <row r="51" ht="15.75" customHeight="1">
      <c r="A51" s="1"/>
      <c r="B51" s="1"/>
      <c r="C51" s="1" t="s">
        <v>120</v>
      </c>
      <c r="D51" s="54">
        <f>-D50*Assumptions!$L65</f>
        <v>0</v>
      </c>
      <c r="E51" s="54">
        <f>-E50*Assumptions!$L65</f>
        <v>0</v>
      </c>
      <c r="F51" s="54">
        <f>-F50*Assumptions!$L65</f>
        <v>0</v>
      </c>
      <c r="G51" s="54">
        <f>-G50*Assumptions!$L65</f>
        <v>0</v>
      </c>
      <c r="H51" s="54">
        <f>-H50*Assumptions!$L65</f>
        <v>0</v>
      </c>
      <c r="I51" s="54">
        <f>-I50*Assumptions!$L65</f>
        <v>0</v>
      </c>
      <c r="J51" s="54">
        <f>-J50*Assumptions!$L65</f>
        <v>0</v>
      </c>
      <c r="K51" s="54">
        <f>-K50*Assumptions!$L65</f>
        <v>0</v>
      </c>
      <c r="L51" s="54">
        <f>-L50*Assumptions!$L65</f>
        <v>0</v>
      </c>
      <c r="M51" s="54">
        <f>-M50*Assumptions!$L65</f>
        <v>0</v>
      </c>
      <c r="N51" s="54">
        <f>-N50*Assumptions!$L65</f>
        <v>0</v>
      </c>
      <c r="O51" s="54">
        <f>-O50*Assumptions!$L65</f>
        <v>0</v>
      </c>
      <c r="P51" s="54">
        <f>-P50*Assumptions!$L65</f>
        <v>0</v>
      </c>
      <c r="Q51" s="54">
        <f>-Q50*Assumptions!$L65</f>
        <v>0</v>
      </c>
      <c r="R51" s="54">
        <f>-R50*Assumptions!$L65</f>
        <v>0</v>
      </c>
      <c r="S51" s="54">
        <f>-S50*Assumptions!$L65</f>
        <v>0</v>
      </c>
      <c r="T51" s="54">
        <f>-T50*Assumptions!$L65</f>
        <v>0</v>
      </c>
      <c r="U51" s="54">
        <f>-U50*Assumptions!$L65</f>
        <v>0</v>
      </c>
      <c r="V51" s="54">
        <f>-V50*Assumptions!$L65</f>
        <v>0</v>
      </c>
      <c r="W51" s="54">
        <f>-W50*Assumptions!$L65</f>
        <v>0</v>
      </c>
      <c r="X51" s="54">
        <f>-X50*Assumptions!$L65</f>
        <v>0</v>
      </c>
      <c r="Y51" s="54">
        <f>-Y50*Assumptions!$L65</f>
        <v>0</v>
      </c>
      <c r="Z51" s="54">
        <f>-Z50*Assumptions!$L65</f>
        <v>0</v>
      </c>
      <c r="AA51" s="54">
        <f>-AA50*Assumptions!$L65</f>
        <v>0</v>
      </c>
      <c r="AB51" s="54">
        <f>-AB50*Assumptions!$L65</f>
        <v>0</v>
      </c>
      <c r="AC51" s="54">
        <f>-AC50*Assumptions!$L65</f>
        <v>0</v>
      </c>
      <c r="AD51" s="54">
        <f>-AD50*Assumptions!$L65</f>
        <v>0</v>
      </c>
      <c r="AE51" s="54">
        <f>-AE50*Assumptions!$L65</f>
        <v>0</v>
      </c>
      <c r="AF51" s="54">
        <f>-AF50*Assumptions!$L65</f>
        <v>0</v>
      </c>
      <c r="AG51" s="54">
        <f>-AG50*Assumptions!$L65</f>
        <v>0</v>
      </c>
      <c r="AH51" s="54">
        <f>-AH50*Assumptions!$L65</f>
        <v>0</v>
      </c>
      <c r="AI51" s="54">
        <f>-AI50*Assumptions!$L65</f>
        <v>0</v>
      </c>
      <c r="AJ51" s="54">
        <f>-AJ50*Assumptions!$L65</f>
        <v>0</v>
      </c>
      <c r="AK51" s="54">
        <f>-AK50*Assumptions!$L65</f>
        <v>0</v>
      </c>
      <c r="AL51" s="54">
        <f>-AL50*Assumptions!$L65</f>
        <v>0</v>
      </c>
      <c r="AM51" s="54">
        <f>-AM50*Assumptions!$L65</f>
        <v>0</v>
      </c>
      <c r="AN51" s="54">
        <f>-AN50*Assumptions!$L65</f>
        <v>0</v>
      </c>
      <c r="AO51" s="54">
        <f>-AO50*Assumptions!$L65</f>
        <v>0</v>
      </c>
      <c r="AP51" s="54">
        <f>-AP50*Assumptions!$L65</f>
        <v>0</v>
      </c>
      <c r="AQ51" s="54">
        <f>-AQ50*Assumptions!$L65</f>
        <v>0</v>
      </c>
      <c r="AR51" s="54">
        <f>-AR50*Assumptions!$L65</f>
        <v>0</v>
      </c>
      <c r="AS51" s="54">
        <f>-AS50*Assumptions!$L65</f>
        <v>0</v>
      </c>
      <c r="AT51" s="54">
        <f>-AT50*Assumptions!$L65</f>
        <v>0</v>
      </c>
      <c r="AU51" s="54">
        <f>-AU50*Assumptions!$L65</f>
        <v>0</v>
      </c>
      <c r="AV51" s="54">
        <f>-AV50*Assumptions!$L65</f>
        <v>0</v>
      </c>
      <c r="AW51" s="54">
        <f>-AW50*Assumptions!$L65</f>
        <v>0</v>
      </c>
      <c r="AX51" s="54">
        <f>-AX50*Assumptions!$L65</f>
        <v>0</v>
      </c>
      <c r="AY51" s="54">
        <f>-AY50*Assumptions!$L65</f>
        <v>0</v>
      </c>
      <c r="AZ51" s="54">
        <f>-AZ50*Assumptions!$L65</f>
        <v>0</v>
      </c>
      <c r="BA51" s="54">
        <f>-BA50*Assumptions!$L65</f>
        <v>0</v>
      </c>
      <c r="BB51" s="54">
        <f>-BB50*Assumptions!$L65</f>
        <v>0</v>
      </c>
      <c r="BC51" s="54">
        <f>-BC50*Assumptions!$L65</f>
        <v>0</v>
      </c>
      <c r="BD51" s="54">
        <f>-BD50*Assumptions!$L65</f>
        <v>0</v>
      </c>
      <c r="BE51" s="54">
        <f>-BE50*Assumptions!$L65</f>
        <v>0</v>
      </c>
      <c r="BF51" s="54">
        <f>-BF50*Assumptions!$L65</f>
        <v>0</v>
      </c>
      <c r="BG51" s="54">
        <f>-BG50*Assumptions!$L65</f>
        <v>0</v>
      </c>
      <c r="BH51" s="54">
        <f>-BH50*Assumptions!$L65</f>
        <v>0</v>
      </c>
      <c r="BI51" s="54">
        <f>-BI50*Assumptions!$L65</f>
        <v>0</v>
      </c>
      <c r="BJ51" s="54">
        <f>-BJ50*Assumptions!$L65</f>
        <v>0</v>
      </c>
      <c r="BK51" s="54">
        <f>-BK50*Assumptions!$L65</f>
        <v>0</v>
      </c>
      <c r="BL51" s="54">
        <f>-BL50*Assumptions!$L65</f>
        <v>0</v>
      </c>
      <c r="BM51" s="54">
        <f>-BM50*Assumptions!$L65</f>
        <v>0</v>
      </c>
      <c r="BN51" s="54">
        <f>-BN50*Assumptions!$L65</f>
        <v>0</v>
      </c>
      <c r="BO51" s="54">
        <f>-BO50*Assumptions!$L65</f>
        <v>0</v>
      </c>
      <c r="BP51" s="54">
        <f>-BP50*Assumptions!$L65</f>
        <v>0</v>
      </c>
      <c r="BQ51" s="54">
        <f>-BQ50*Assumptions!$L65</f>
        <v>0</v>
      </c>
      <c r="BR51" s="54">
        <f>-BR50*Assumptions!$L65</f>
        <v>0</v>
      </c>
      <c r="BS51" s="54">
        <f>-BS50*Assumptions!$L65</f>
        <v>0</v>
      </c>
      <c r="BT51" s="54">
        <f>-BT50*Assumptions!$L65</f>
        <v>0</v>
      </c>
      <c r="BU51" s="54">
        <f>-BU50*Assumptions!$L65</f>
        <v>0</v>
      </c>
      <c r="BV51" s="54">
        <f>-BV50*Assumptions!$L65</f>
        <v>0</v>
      </c>
      <c r="BW51" s="54">
        <f>-BW50*Assumptions!$L65</f>
        <v>0</v>
      </c>
      <c r="BX51" s="54">
        <f>-BX50*Assumptions!$L65</f>
        <v>0</v>
      </c>
      <c r="BY51" s="54">
        <f>-BY50*Assumptions!$L65</f>
        <v>0</v>
      </c>
      <c r="BZ51" s="54">
        <f>-BZ50*Assumptions!$L65</f>
        <v>0</v>
      </c>
      <c r="CA51" s="54">
        <f>-CA50*Assumptions!$L65</f>
        <v>0</v>
      </c>
      <c r="CB51" s="54">
        <f>-CB50*Assumptions!$L65</f>
        <v>0</v>
      </c>
      <c r="CC51" s="54">
        <f>-CC50*Assumptions!$L65</f>
        <v>0</v>
      </c>
      <c r="CD51" s="54">
        <f>-CD50*Assumptions!$L65</f>
        <v>0</v>
      </c>
      <c r="CE51" s="54">
        <f>-CE50*Assumptions!$L65</f>
        <v>0</v>
      </c>
      <c r="CF51" s="54">
        <f>-CF50*Assumptions!$L65</f>
        <v>0</v>
      </c>
      <c r="CG51" s="54">
        <f>-CG50*Assumptions!$L65</f>
        <v>0</v>
      </c>
      <c r="CH51" s="54">
        <f>-CH50*Assumptions!$L65</f>
        <v>0</v>
      </c>
      <c r="CI51" s="54">
        <f>-CI50*Assumptions!$L65</f>
        <v>0</v>
      </c>
      <c r="CJ51" s="54">
        <f>-CJ50*Assumptions!$L65</f>
        <v>0</v>
      </c>
      <c r="CK51" s="54">
        <f>-CK50*Assumptions!$L65</f>
        <v>0</v>
      </c>
      <c r="CL51" s="54">
        <f>-CL50*Assumptions!$L65</f>
        <v>0</v>
      </c>
      <c r="CM51" s="54">
        <f>-CM50*Assumptions!$L65</f>
        <v>0</v>
      </c>
      <c r="CN51" s="54">
        <f>-CN50*Assumptions!$L65</f>
        <v>0</v>
      </c>
      <c r="CO51" s="54">
        <f>-CO50*Assumptions!$L65</f>
        <v>0</v>
      </c>
      <c r="CP51" s="54">
        <f>-CP50*Assumptions!$L65</f>
        <v>0</v>
      </c>
      <c r="CQ51" s="54">
        <f>-CQ50*Assumptions!$L65</f>
        <v>0</v>
      </c>
      <c r="CR51" s="54">
        <f>-CR50*Assumptions!$L65</f>
        <v>0</v>
      </c>
      <c r="CS51" s="54">
        <f>-CS50*Assumptions!$L65</f>
        <v>0</v>
      </c>
      <c r="CT51" s="54">
        <f>-CT50*Assumptions!$L65</f>
        <v>0</v>
      </c>
      <c r="CU51" s="54">
        <f>-CU50*Assumptions!$L65</f>
        <v>0</v>
      </c>
      <c r="CV51" s="54">
        <f>-CV50*Assumptions!$L65</f>
        <v>0</v>
      </c>
      <c r="CW51" s="54">
        <f>-CW50*Assumptions!$L65</f>
        <v>0</v>
      </c>
      <c r="CX51" s="54">
        <f>-CX50*Assumptions!$L65</f>
        <v>0</v>
      </c>
      <c r="CY51" s="54">
        <f>-CY50*Assumptions!$L65</f>
        <v>0</v>
      </c>
      <c r="CZ51" s="54">
        <f>-CZ50*Assumptions!$L65</f>
        <v>0</v>
      </c>
      <c r="DA51" s="54">
        <f>-DA50*Assumptions!$L65</f>
        <v>0</v>
      </c>
      <c r="DB51" s="54">
        <f>-DB50*Assumptions!$L65</f>
        <v>0</v>
      </c>
      <c r="DC51" s="54">
        <f>-DC50*Assumptions!$L65</f>
        <v>0</v>
      </c>
      <c r="DD51" s="54">
        <f>-DD50*Assumptions!$L65</f>
        <v>0</v>
      </c>
      <c r="DE51" s="54">
        <f>-DE50*Assumptions!$L65</f>
        <v>0</v>
      </c>
      <c r="DF51" s="54">
        <f>-DF50*Assumptions!$L65</f>
        <v>0</v>
      </c>
      <c r="DG51" s="54">
        <f>-DG50*Assumptions!$L65</f>
        <v>0</v>
      </c>
      <c r="DH51" s="54">
        <f>-DH50*Assumptions!$L65</f>
        <v>0</v>
      </c>
      <c r="DI51" s="54">
        <f>-DI50*Assumptions!$L65</f>
        <v>0</v>
      </c>
      <c r="DJ51" s="54">
        <f>-DJ50*Assumptions!$L65</f>
        <v>0</v>
      </c>
      <c r="DK51" s="54">
        <f>-DK50*Assumptions!$L65</f>
        <v>0</v>
      </c>
      <c r="DL51" s="54">
        <f>-DL50*Assumptions!$L65</f>
        <v>0</v>
      </c>
      <c r="DM51" s="54">
        <f>-DM50*Assumptions!$L65</f>
        <v>0</v>
      </c>
      <c r="DN51" s="54">
        <f>-DN50*Assumptions!$L65</f>
        <v>0</v>
      </c>
      <c r="DO51" s="54">
        <f>-DO50*Assumptions!$L65</f>
        <v>0</v>
      </c>
      <c r="DP51" s="54">
        <f>-DP50*Assumptions!$L65</f>
        <v>0</v>
      </c>
      <c r="DQ51" s="54">
        <f>-DQ50*Assumptions!$L65</f>
        <v>0</v>
      </c>
      <c r="DR51" s="54">
        <f>-DR50*Assumptions!$L65</f>
        <v>0</v>
      </c>
      <c r="DS51" s="54">
        <f>-DS50*Assumptions!$L65</f>
        <v>-605744.432</v>
      </c>
      <c r="DT51" s="54">
        <f>-DT50*Assumptions!$L65</f>
        <v>0</v>
      </c>
      <c r="DU51" s="54">
        <f>-DU50*Assumptions!$L65</f>
        <v>0</v>
      </c>
      <c r="DV51" s="54">
        <f>-DV50*Assumptions!$L65</f>
        <v>0</v>
      </c>
      <c r="DW51" s="54">
        <f>-DW50*Assumptions!$L65</f>
        <v>0</v>
      </c>
      <c r="DX51" s="54">
        <f>-DX50*Assumptions!$L65</f>
        <v>0</v>
      </c>
      <c r="DY51" s="54">
        <f>-DY50*Assumptions!$L65</f>
        <v>0</v>
      </c>
      <c r="DZ51" s="54">
        <f>-DZ50*Assumptions!$L65</f>
        <v>0</v>
      </c>
      <c r="EA51" s="54">
        <f>-EA50*Assumptions!$L65</f>
        <v>0</v>
      </c>
      <c r="EB51" s="54">
        <f>-EB50*Assumptions!$L65</f>
        <v>0</v>
      </c>
      <c r="EC51" s="54">
        <f>-EC50*Assumptions!$L65</f>
        <v>0</v>
      </c>
      <c r="ED51" s="54">
        <f>-ED50*Assumptions!$L65</f>
        <v>0</v>
      </c>
      <c r="EE51" s="54">
        <f>-EE50*Assumptions!$L65</f>
        <v>0</v>
      </c>
    </row>
    <row r="52" ht="15.75" customHeight="1">
      <c r="A52" s="1"/>
      <c r="B52" s="26"/>
      <c r="C52" s="26" t="s">
        <v>200</v>
      </c>
      <c r="D52" s="211">
        <f t="shared" ref="D52:EE52" si="10">-D47*IF(D50=0,0,1)</f>
        <v>0</v>
      </c>
      <c r="E52" s="211">
        <f t="shared" si="10"/>
        <v>0</v>
      </c>
      <c r="F52" s="211">
        <f t="shared" si="10"/>
        <v>0</v>
      </c>
      <c r="G52" s="211">
        <f t="shared" si="10"/>
        <v>0</v>
      </c>
      <c r="H52" s="211">
        <f t="shared" si="10"/>
        <v>0</v>
      </c>
      <c r="I52" s="211">
        <f t="shared" si="10"/>
        <v>0</v>
      </c>
      <c r="J52" s="211">
        <f t="shared" si="10"/>
        <v>0</v>
      </c>
      <c r="K52" s="211">
        <f t="shared" si="10"/>
        <v>0</v>
      </c>
      <c r="L52" s="211">
        <f t="shared" si="10"/>
        <v>0</v>
      </c>
      <c r="M52" s="211">
        <f t="shared" si="10"/>
        <v>0</v>
      </c>
      <c r="N52" s="211">
        <f t="shared" si="10"/>
        <v>0</v>
      </c>
      <c r="O52" s="211">
        <f t="shared" si="10"/>
        <v>0</v>
      </c>
      <c r="P52" s="211">
        <f t="shared" si="10"/>
        <v>0</v>
      </c>
      <c r="Q52" s="211">
        <f t="shared" si="10"/>
        <v>0</v>
      </c>
      <c r="R52" s="211">
        <f t="shared" si="10"/>
        <v>0</v>
      </c>
      <c r="S52" s="211">
        <f t="shared" si="10"/>
        <v>0</v>
      </c>
      <c r="T52" s="211">
        <f t="shared" si="10"/>
        <v>0</v>
      </c>
      <c r="U52" s="211">
        <f t="shared" si="10"/>
        <v>0</v>
      </c>
      <c r="V52" s="211">
        <f t="shared" si="10"/>
        <v>0</v>
      </c>
      <c r="W52" s="211">
        <f t="shared" si="10"/>
        <v>0</v>
      </c>
      <c r="X52" s="211">
        <f t="shared" si="10"/>
        <v>0</v>
      </c>
      <c r="Y52" s="211">
        <f t="shared" si="10"/>
        <v>0</v>
      </c>
      <c r="Z52" s="211">
        <f t="shared" si="10"/>
        <v>0</v>
      </c>
      <c r="AA52" s="211">
        <f t="shared" si="10"/>
        <v>0</v>
      </c>
      <c r="AB52" s="211">
        <f t="shared" si="10"/>
        <v>0</v>
      </c>
      <c r="AC52" s="211">
        <f t="shared" si="10"/>
        <v>0</v>
      </c>
      <c r="AD52" s="211">
        <f t="shared" si="10"/>
        <v>0</v>
      </c>
      <c r="AE52" s="211">
        <f t="shared" si="10"/>
        <v>0</v>
      </c>
      <c r="AF52" s="211">
        <f t="shared" si="10"/>
        <v>0</v>
      </c>
      <c r="AG52" s="211">
        <f t="shared" si="10"/>
        <v>0</v>
      </c>
      <c r="AH52" s="211">
        <f t="shared" si="10"/>
        <v>0</v>
      </c>
      <c r="AI52" s="211">
        <f t="shared" si="10"/>
        <v>0</v>
      </c>
      <c r="AJ52" s="211">
        <f t="shared" si="10"/>
        <v>0</v>
      </c>
      <c r="AK52" s="211">
        <f t="shared" si="10"/>
        <v>0</v>
      </c>
      <c r="AL52" s="211">
        <f t="shared" si="10"/>
        <v>0</v>
      </c>
      <c r="AM52" s="211">
        <f t="shared" si="10"/>
        <v>0</v>
      </c>
      <c r="AN52" s="211">
        <f t="shared" si="10"/>
        <v>0</v>
      </c>
      <c r="AO52" s="211">
        <f t="shared" si="10"/>
        <v>0</v>
      </c>
      <c r="AP52" s="211">
        <f t="shared" si="10"/>
        <v>0</v>
      </c>
      <c r="AQ52" s="211">
        <f t="shared" si="10"/>
        <v>0</v>
      </c>
      <c r="AR52" s="211">
        <f t="shared" si="10"/>
        <v>0</v>
      </c>
      <c r="AS52" s="211">
        <f t="shared" si="10"/>
        <v>0</v>
      </c>
      <c r="AT52" s="211">
        <f t="shared" si="10"/>
        <v>0</v>
      </c>
      <c r="AU52" s="211">
        <f t="shared" si="10"/>
        <v>0</v>
      </c>
      <c r="AV52" s="211">
        <f t="shared" si="10"/>
        <v>0</v>
      </c>
      <c r="AW52" s="211">
        <f t="shared" si="10"/>
        <v>0</v>
      </c>
      <c r="AX52" s="211">
        <f t="shared" si="10"/>
        <v>0</v>
      </c>
      <c r="AY52" s="211">
        <f t="shared" si="10"/>
        <v>0</v>
      </c>
      <c r="AZ52" s="211">
        <f t="shared" si="10"/>
        <v>0</v>
      </c>
      <c r="BA52" s="211">
        <f t="shared" si="10"/>
        <v>0</v>
      </c>
      <c r="BB52" s="211">
        <f t="shared" si="10"/>
        <v>0</v>
      </c>
      <c r="BC52" s="211">
        <f t="shared" si="10"/>
        <v>0</v>
      </c>
      <c r="BD52" s="211">
        <f t="shared" si="10"/>
        <v>0</v>
      </c>
      <c r="BE52" s="211">
        <f t="shared" si="10"/>
        <v>0</v>
      </c>
      <c r="BF52" s="211">
        <f t="shared" si="10"/>
        <v>0</v>
      </c>
      <c r="BG52" s="211">
        <f t="shared" si="10"/>
        <v>0</v>
      </c>
      <c r="BH52" s="211">
        <f t="shared" si="10"/>
        <v>0</v>
      </c>
      <c r="BI52" s="211">
        <f t="shared" si="10"/>
        <v>0</v>
      </c>
      <c r="BJ52" s="211">
        <f t="shared" si="10"/>
        <v>0</v>
      </c>
      <c r="BK52" s="211">
        <f t="shared" si="10"/>
        <v>0</v>
      </c>
      <c r="BL52" s="211">
        <f t="shared" si="10"/>
        <v>0</v>
      </c>
      <c r="BM52" s="211">
        <f t="shared" si="10"/>
        <v>0</v>
      </c>
      <c r="BN52" s="211">
        <f t="shared" si="10"/>
        <v>0</v>
      </c>
      <c r="BO52" s="211">
        <f t="shared" si="10"/>
        <v>0</v>
      </c>
      <c r="BP52" s="211">
        <f t="shared" si="10"/>
        <v>0</v>
      </c>
      <c r="BQ52" s="211">
        <f t="shared" si="10"/>
        <v>0</v>
      </c>
      <c r="BR52" s="211">
        <f t="shared" si="10"/>
        <v>0</v>
      </c>
      <c r="BS52" s="211">
        <f t="shared" si="10"/>
        <v>0</v>
      </c>
      <c r="BT52" s="211">
        <f t="shared" si="10"/>
        <v>0</v>
      </c>
      <c r="BU52" s="211">
        <f t="shared" si="10"/>
        <v>0</v>
      </c>
      <c r="BV52" s="211">
        <f t="shared" si="10"/>
        <v>0</v>
      </c>
      <c r="BW52" s="211">
        <f t="shared" si="10"/>
        <v>0</v>
      </c>
      <c r="BX52" s="211">
        <f t="shared" si="10"/>
        <v>0</v>
      </c>
      <c r="BY52" s="211">
        <f t="shared" si="10"/>
        <v>0</v>
      </c>
      <c r="BZ52" s="211">
        <f t="shared" si="10"/>
        <v>0</v>
      </c>
      <c r="CA52" s="211">
        <f t="shared" si="10"/>
        <v>0</v>
      </c>
      <c r="CB52" s="211">
        <f t="shared" si="10"/>
        <v>0</v>
      </c>
      <c r="CC52" s="211">
        <f t="shared" si="10"/>
        <v>0</v>
      </c>
      <c r="CD52" s="211">
        <f t="shared" si="10"/>
        <v>0</v>
      </c>
      <c r="CE52" s="211">
        <f t="shared" si="10"/>
        <v>0</v>
      </c>
      <c r="CF52" s="211">
        <f t="shared" si="10"/>
        <v>0</v>
      </c>
      <c r="CG52" s="211">
        <f t="shared" si="10"/>
        <v>0</v>
      </c>
      <c r="CH52" s="211">
        <f t="shared" si="10"/>
        <v>0</v>
      </c>
      <c r="CI52" s="211">
        <f t="shared" si="10"/>
        <v>0</v>
      </c>
      <c r="CJ52" s="211">
        <f t="shared" si="10"/>
        <v>0</v>
      </c>
      <c r="CK52" s="211">
        <f t="shared" si="10"/>
        <v>0</v>
      </c>
      <c r="CL52" s="211">
        <f t="shared" si="10"/>
        <v>0</v>
      </c>
      <c r="CM52" s="211">
        <f t="shared" si="10"/>
        <v>0</v>
      </c>
      <c r="CN52" s="211">
        <f t="shared" si="10"/>
        <v>0</v>
      </c>
      <c r="CO52" s="211">
        <f t="shared" si="10"/>
        <v>0</v>
      </c>
      <c r="CP52" s="211">
        <f t="shared" si="10"/>
        <v>0</v>
      </c>
      <c r="CQ52" s="211">
        <f t="shared" si="10"/>
        <v>0</v>
      </c>
      <c r="CR52" s="211">
        <f t="shared" si="10"/>
        <v>0</v>
      </c>
      <c r="CS52" s="211">
        <f t="shared" si="10"/>
        <v>0</v>
      </c>
      <c r="CT52" s="211">
        <f t="shared" si="10"/>
        <v>0</v>
      </c>
      <c r="CU52" s="211">
        <f t="shared" si="10"/>
        <v>0</v>
      </c>
      <c r="CV52" s="211">
        <f t="shared" si="10"/>
        <v>0</v>
      </c>
      <c r="CW52" s="211">
        <f t="shared" si="10"/>
        <v>0</v>
      </c>
      <c r="CX52" s="211">
        <f t="shared" si="10"/>
        <v>0</v>
      </c>
      <c r="CY52" s="211">
        <f t="shared" si="10"/>
        <v>0</v>
      </c>
      <c r="CZ52" s="211">
        <f t="shared" si="10"/>
        <v>0</v>
      </c>
      <c r="DA52" s="211">
        <f t="shared" si="10"/>
        <v>0</v>
      </c>
      <c r="DB52" s="211">
        <f t="shared" si="10"/>
        <v>0</v>
      </c>
      <c r="DC52" s="211">
        <f t="shared" si="10"/>
        <v>0</v>
      </c>
      <c r="DD52" s="211">
        <f t="shared" si="10"/>
        <v>0</v>
      </c>
      <c r="DE52" s="211">
        <f t="shared" si="10"/>
        <v>0</v>
      </c>
      <c r="DF52" s="211">
        <f t="shared" si="10"/>
        <v>0</v>
      </c>
      <c r="DG52" s="211">
        <f t="shared" si="10"/>
        <v>0</v>
      </c>
      <c r="DH52" s="211">
        <f t="shared" si="10"/>
        <v>0</v>
      </c>
      <c r="DI52" s="211">
        <f t="shared" si="10"/>
        <v>0</v>
      </c>
      <c r="DJ52" s="211">
        <f t="shared" si="10"/>
        <v>0</v>
      </c>
      <c r="DK52" s="211">
        <f t="shared" si="10"/>
        <v>0</v>
      </c>
      <c r="DL52" s="211">
        <f t="shared" si="10"/>
        <v>0</v>
      </c>
      <c r="DM52" s="211">
        <f t="shared" si="10"/>
        <v>0</v>
      </c>
      <c r="DN52" s="211">
        <f t="shared" si="10"/>
        <v>0</v>
      </c>
      <c r="DO52" s="211">
        <f t="shared" si="10"/>
        <v>0</v>
      </c>
      <c r="DP52" s="211">
        <f t="shared" si="10"/>
        <v>0</v>
      </c>
      <c r="DQ52" s="211">
        <f t="shared" si="10"/>
        <v>0</v>
      </c>
      <c r="DR52" s="211">
        <f t="shared" si="10"/>
        <v>0</v>
      </c>
      <c r="DS52" s="211">
        <f t="shared" si="10"/>
        <v>-12262023.07</v>
      </c>
      <c r="DT52" s="211">
        <f t="shared" si="10"/>
        <v>0</v>
      </c>
      <c r="DU52" s="211">
        <f t="shared" si="10"/>
        <v>0</v>
      </c>
      <c r="DV52" s="211">
        <f t="shared" si="10"/>
        <v>0</v>
      </c>
      <c r="DW52" s="211">
        <f t="shared" si="10"/>
        <v>0</v>
      </c>
      <c r="DX52" s="211">
        <f t="shared" si="10"/>
        <v>0</v>
      </c>
      <c r="DY52" s="211">
        <f t="shared" si="10"/>
        <v>0</v>
      </c>
      <c r="DZ52" s="211">
        <f t="shared" si="10"/>
        <v>0</v>
      </c>
      <c r="EA52" s="211">
        <f t="shared" si="10"/>
        <v>0</v>
      </c>
      <c r="EB52" s="211">
        <f t="shared" si="10"/>
        <v>0</v>
      </c>
      <c r="EC52" s="211">
        <f t="shared" si="10"/>
        <v>0</v>
      </c>
      <c r="ED52" s="211">
        <f t="shared" si="10"/>
        <v>0</v>
      </c>
      <c r="EE52" s="211">
        <f t="shared" si="10"/>
        <v>0</v>
      </c>
    </row>
    <row r="53" ht="15.75" customHeight="1">
      <c r="A53" s="1"/>
      <c r="B53" s="47"/>
      <c r="C53" s="47" t="s">
        <v>151</v>
      </c>
      <c r="D53" s="213">
        <f t="shared" ref="D53:EE53" si="11">SUM(D50:D52)</f>
        <v>0</v>
      </c>
      <c r="E53" s="213">
        <f t="shared" si="11"/>
        <v>0</v>
      </c>
      <c r="F53" s="213">
        <f t="shared" si="11"/>
        <v>0</v>
      </c>
      <c r="G53" s="213">
        <f t="shared" si="11"/>
        <v>0</v>
      </c>
      <c r="H53" s="213">
        <f t="shared" si="11"/>
        <v>0</v>
      </c>
      <c r="I53" s="213">
        <f t="shared" si="11"/>
        <v>0</v>
      </c>
      <c r="J53" s="213">
        <f t="shared" si="11"/>
        <v>0</v>
      </c>
      <c r="K53" s="213">
        <f t="shared" si="11"/>
        <v>0</v>
      </c>
      <c r="L53" s="213">
        <f t="shared" si="11"/>
        <v>0</v>
      </c>
      <c r="M53" s="213">
        <f t="shared" si="11"/>
        <v>0</v>
      </c>
      <c r="N53" s="213">
        <f t="shared" si="11"/>
        <v>0</v>
      </c>
      <c r="O53" s="213">
        <f t="shared" si="11"/>
        <v>0</v>
      </c>
      <c r="P53" s="213">
        <f t="shared" si="11"/>
        <v>0</v>
      </c>
      <c r="Q53" s="213">
        <f t="shared" si="11"/>
        <v>0</v>
      </c>
      <c r="R53" s="213">
        <f t="shared" si="11"/>
        <v>0</v>
      </c>
      <c r="S53" s="213">
        <f t="shared" si="11"/>
        <v>0</v>
      </c>
      <c r="T53" s="213">
        <f t="shared" si="11"/>
        <v>0</v>
      </c>
      <c r="U53" s="213">
        <f t="shared" si="11"/>
        <v>0</v>
      </c>
      <c r="V53" s="213">
        <f t="shared" si="11"/>
        <v>0</v>
      </c>
      <c r="W53" s="213">
        <f t="shared" si="11"/>
        <v>0</v>
      </c>
      <c r="X53" s="213">
        <f t="shared" si="11"/>
        <v>0</v>
      </c>
      <c r="Y53" s="213">
        <f t="shared" si="11"/>
        <v>0</v>
      </c>
      <c r="Z53" s="213">
        <f t="shared" si="11"/>
        <v>0</v>
      </c>
      <c r="AA53" s="213">
        <f t="shared" si="11"/>
        <v>0</v>
      </c>
      <c r="AB53" s="213">
        <f t="shared" si="11"/>
        <v>0</v>
      </c>
      <c r="AC53" s="213">
        <f t="shared" si="11"/>
        <v>0</v>
      </c>
      <c r="AD53" s="213">
        <f t="shared" si="11"/>
        <v>0</v>
      </c>
      <c r="AE53" s="213">
        <f t="shared" si="11"/>
        <v>0</v>
      </c>
      <c r="AF53" s="213">
        <f t="shared" si="11"/>
        <v>0</v>
      </c>
      <c r="AG53" s="213">
        <f t="shared" si="11"/>
        <v>0</v>
      </c>
      <c r="AH53" s="213">
        <f t="shared" si="11"/>
        <v>0</v>
      </c>
      <c r="AI53" s="213">
        <f t="shared" si="11"/>
        <v>0</v>
      </c>
      <c r="AJ53" s="213">
        <f t="shared" si="11"/>
        <v>0</v>
      </c>
      <c r="AK53" s="213">
        <f t="shared" si="11"/>
        <v>0</v>
      </c>
      <c r="AL53" s="213">
        <f t="shared" si="11"/>
        <v>0</v>
      </c>
      <c r="AM53" s="213">
        <f t="shared" si="11"/>
        <v>0</v>
      </c>
      <c r="AN53" s="213">
        <f t="shared" si="11"/>
        <v>0</v>
      </c>
      <c r="AO53" s="213">
        <f t="shared" si="11"/>
        <v>0</v>
      </c>
      <c r="AP53" s="213">
        <f t="shared" si="11"/>
        <v>0</v>
      </c>
      <c r="AQ53" s="213">
        <f t="shared" si="11"/>
        <v>0</v>
      </c>
      <c r="AR53" s="213">
        <f t="shared" si="11"/>
        <v>0</v>
      </c>
      <c r="AS53" s="213">
        <f t="shared" si="11"/>
        <v>0</v>
      </c>
      <c r="AT53" s="213">
        <f t="shared" si="11"/>
        <v>0</v>
      </c>
      <c r="AU53" s="213">
        <f t="shared" si="11"/>
        <v>0</v>
      </c>
      <c r="AV53" s="213">
        <f t="shared" si="11"/>
        <v>0</v>
      </c>
      <c r="AW53" s="213">
        <f t="shared" si="11"/>
        <v>0</v>
      </c>
      <c r="AX53" s="213">
        <f t="shared" si="11"/>
        <v>0</v>
      </c>
      <c r="AY53" s="213">
        <f t="shared" si="11"/>
        <v>0</v>
      </c>
      <c r="AZ53" s="213">
        <f t="shared" si="11"/>
        <v>0</v>
      </c>
      <c r="BA53" s="213">
        <f t="shared" si="11"/>
        <v>0</v>
      </c>
      <c r="BB53" s="213">
        <f t="shared" si="11"/>
        <v>0</v>
      </c>
      <c r="BC53" s="213">
        <f t="shared" si="11"/>
        <v>0</v>
      </c>
      <c r="BD53" s="213">
        <f t="shared" si="11"/>
        <v>0</v>
      </c>
      <c r="BE53" s="213">
        <f t="shared" si="11"/>
        <v>0</v>
      </c>
      <c r="BF53" s="213">
        <f t="shared" si="11"/>
        <v>0</v>
      </c>
      <c r="BG53" s="213">
        <f t="shared" si="11"/>
        <v>0</v>
      </c>
      <c r="BH53" s="213">
        <f t="shared" si="11"/>
        <v>0</v>
      </c>
      <c r="BI53" s="213">
        <f t="shared" si="11"/>
        <v>0</v>
      </c>
      <c r="BJ53" s="213">
        <f t="shared" si="11"/>
        <v>0</v>
      </c>
      <c r="BK53" s="213">
        <f t="shared" si="11"/>
        <v>0</v>
      </c>
      <c r="BL53" s="213">
        <f t="shared" si="11"/>
        <v>0</v>
      </c>
      <c r="BM53" s="213">
        <f t="shared" si="11"/>
        <v>0</v>
      </c>
      <c r="BN53" s="213">
        <f t="shared" si="11"/>
        <v>0</v>
      </c>
      <c r="BO53" s="213">
        <f t="shared" si="11"/>
        <v>0</v>
      </c>
      <c r="BP53" s="213">
        <f t="shared" si="11"/>
        <v>0</v>
      </c>
      <c r="BQ53" s="213">
        <f t="shared" si="11"/>
        <v>0</v>
      </c>
      <c r="BR53" s="213">
        <f t="shared" si="11"/>
        <v>0</v>
      </c>
      <c r="BS53" s="213">
        <f t="shared" si="11"/>
        <v>0</v>
      </c>
      <c r="BT53" s="213">
        <f t="shared" si="11"/>
        <v>0</v>
      </c>
      <c r="BU53" s="213">
        <f t="shared" si="11"/>
        <v>0</v>
      </c>
      <c r="BV53" s="213">
        <f t="shared" si="11"/>
        <v>0</v>
      </c>
      <c r="BW53" s="213">
        <f t="shared" si="11"/>
        <v>0</v>
      </c>
      <c r="BX53" s="213">
        <f t="shared" si="11"/>
        <v>0</v>
      </c>
      <c r="BY53" s="213">
        <f t="shared" si="11"/>
        <v>0</v>
      </c>
      <c r="BZ53" s="213">
        <f t="shared" si="11"/>
        <v>0</v>
      </c>
      <c r="CA53" s="213">
        <f t="shared" si="11"/>
        <v>0</v>
      </c>
      <c r="CB53" s="213">
        <f t="shared" si="11"/>
        <v>0</v>
      </c>
      <c r="CC53" s="213">
        <f t="shared" si="11"/>
        <v>0</v>
      </c>
      <c r="CD53" s="213">
        <f t="shared" si="11"/>
        <v>0</v>
      </c>
      <c r="CE53" s="213">
        <f t="shared" si="11"/>
        <v>0</v>
      </c>
      <c r="CF53" s="213">
        <f t="shared" si="11"/>
        <v>0</v>
      </c>
      <c r="CG53" s="213">
        <f t="shared" si="11"/>
        <v>0</v>
      </c>
      <c r="CH53" s="213">
        <f t="shared" si="11"/>
        <v>0</v>
      </c>
      <c r="CI53" s="213">
        <f t="shared" si="11"/>
        <v>0</v>
      </c>
      <c r="CJ53" s="213">
        <f t="shared" si="11"/>
        <v>0</v>
      </c>
      <c r="CK53" s="213">
        <f t="shared" si="11"/>
        <v>0</v>
      </c>
      <c r="CL53" s="213">
        <f t="shared" si="11"/>
        <v>0</v>
      </c>
      <c r="CM53" s="213">
        <f t="shared" si="11"/>
        <v>0</v>
      </c>
      <c r="CN53" s="213">
        <f t="shared" si="11"/>
        <v>0</v>
      </c>
      <c r="CO53" s="213">
        <f t="shared" si="11"/>
        <v>0</v>
      </c>
      <c r="CP53" s="213">
        <f t="shared" si="11"/>
        <v>0</v>
      </c>
      <c r="CQ53" s="213">
        <f t="shared" si="11"/>
        <v>0</v>
      </c>
      <c r="CR53" s="213">
        <f t="shared" si="11"/>
        <v>0</v>
      </c>
      <c r="CS53" s="213">
        <f t="shared" si="11"/>
        <v>0</v>
      </c>
      <c r="CT53" s="213">
        <f t="shared" si="11"/>
        <v>0</v>
      </c>
      <c r="CU53" s="213">
        <f t="shared" si="11"/>
        <v>0</v>
      </c>
      <c r="CV53" s="213">
        <f t="shared" si="11"/>
        <v>0</v>
      </c>
      <c r="CW53" s="213">
        <f t="shared" si="11"/>
        <v>0</v>
      </c>
      <c r="CX53" s="213">
        <f t="shared" si="11"/>
        <v>0</v>
      </c>
      <c r="CY53" s="213">
        <f t="shared" si="11"/>
        <v>0</v>
      </c>
      <c r="CZ53" s="213">
        <f t="shared" si="11"/>
        <v>0</v>
      </c>
      <c r="DA53" s="213">
        <f t="shared" si="11"/>
        <v>0</v>
      </c>
      <c r="DB53" s="213">
        <f t="shared" si="11"/>
        <v>0</v>
      </c>
      <c r="DC53" s="213">
        <f t="shared" si="11"/>
        <v>0</v>
      </c>
      <c r="DD53" s="213">
        <f t="shared" si="11"/>
        <v>0</v>
      </c>
      <c r="DE53" s="213">
        <f t="shared" si="11"/>
        <v>0</v>
      </c>
      <c r="DF53" s="213">
        <f t="shared" si="11"/>
        <v>0</v>
      </c>
      <c r="DG53" s="213">
        <f t="shared" si="11"/>
        <v>0</v>
      </c>
      <c r="DH53" s="213">
        <f t="shared" si="11"/>
        <v>0</v>
      </c>
      <c r="DI53" s="213">
        <f t="shared" si="11"/>
        <v>0</v>
      </c>
      <c r="DJ53" s="213">
        <f t="shared" si="11"/>
        <v>0</v>
      </c>
      <c r="DK53" s="213">
        <f t="shared" si="11"/>
        <v>0</v>
      </c>
      <c r="DL53" s="213">
        <f t="shared" si="11"/>
        <v>0</v>
      </c>
      <c r="DM53" s="213">
        <f t="shared" si="11"/>
        <v>0</v>
      </c>
      <c r="DN53" s="213">
        <f t="shared" si="11"/>
        <v>0</v>
      </c>
      <c r="DO53" s="213">
        <f t="shared" si="11"/>
        <v>0</v>
      </c>
      <c r="DP53" s="213">
        <f t="shared" si="11"/>
        <v>0</v>
      </c>
      <c r="DQ53" s="213">
        <f t="shared" si="11"/>
        <v>0</v>
      </c>
      <c r="DR53" s="213">
        <f t="shared" si="11"/>
        <v>0</v>
      </c>
      <c r="DS53" s="213">
        <f t="shared" si="11"/>
        <v>17419454.09</v>
      </c>
      <c r="DT53" s="213">
        <f t="shared" si="11"/>
        <v>0</v>
      </c>
      <c r="DU53" s="213">
        <f t="shared" si="11"/>
        <v>0</v>
      </c>
      <c r="DV53" s="213">
        <f t="shared" si="11"/>
        <v>0</v>
      </c>
      <c r="DW53" s="213">
        <f t="shared" si="11"/>
        <v>0</v>
      </c>
      <c r="DX53" s="213">
        <f t="shared" si="11"/>
        <v>0</v>
      </c>
      <c r="DY53" s="213">
        <f t="shared" si="11"/>
        <v>0</v>
      </c>
      <c r="DZ53" s="213">
        <f t="shared" si="11"/>
        <v>0</v>
      </c>
      <c r="EA53" s="213">
        <f t="shared" si="11"/>
        <v>0</v>
      </c>
      <c r="EB53" s="213">
        <f t="shared" si="11"/>
        <v>0</v>
      </c>
      <c r="EC53" s="213">
        <f t="shared" si="11"/>
        <v>0</v>
      </c>
      <c r="ED53" s="213">
        <f t="shared" si="11"/>
        <v>0</v>
      </c>
      <c r="EE53" s="213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152</v>
      </c>
      <c r="D55" s="54">
        <f>(D38-D46)*IF(D1&gt;Assumptions!$L$68*12,0,1)</f>
        <v>104769.1383</v>
      </c>
      <c r="E55" s="54">
        <f>(E38-E46)*IF(E1&gt;Assumptions!$D$68*12,0,1)</f>
        <v>104769.1383</v>
      </c>
      <c r="F55" s="54">
        <f>(F38-F46)*IF(F1&gt;Assumptions!$D$68*12,0,1)</f>
        <v>104769.1383</v>
      </c>
      <c r="G55" s="54">
        <f>(G38-G46)*IF(G1&gt;Assumptions!$D$68*12,0,1)</f>
        <v>104769.1383</v>
      </c>
      <c r="H55" s="54">
        <f>(H38-H46)*IF(H1&gt;Assumptions!$D$68*12,0,1)</f>
        <v>104769.1383</v>
      </c>
      <c r="I55" s="54">
        <f>(I38-I46)*IF(I1&gt;Assumptions!$D$68*12,0,1)</f>
        <v>104769.1383</v>
      </c>
      <c r="J55" s="54">
        <f>(J38-J46)*IF(J1&gt;Assumptions!$D$68*12,0,1)</f>
        <v>104769.1383</v>
      </c>
      <c r="K55" s="54">
        <f>(K38-K46)*IF(K1&gt;Assumptions!$D$68*12,0,1)</f>
        <v>104769.1383</v>
      </c>
      <c r="L55" s="54">
        <f>(L38-L46)*IF(L1&gt;Assumptions!$D$68*12,0,1)</f>
        <v>104769.1383</v>
      </c>
      <c r="M55" s="54">
        <f>(M38-M46)*IF(M1&gt;Assumptions!$D$68*12,0,1)</f>
        <v>104769.1383</v>
      </c>
      <c r="N55" s="54">
        <f>(N38-N46)*IF(N1&gt;Assumptions!$D$68*12,0,1)</f>
        <v>104769.1383</v>
      </c>
      <c r="O55" s="54">
        <f>(O38-O46)*IF(O1&gt;Assumptions!$D$68*12,0,1)</f>
        <v>104769.1383</v>
      </c>
      <c r="P55" s="54">
        <f>(P38-P46)*IF(P1&gt;Assumptions!$D$68*12,0,1)</f>
        <v>121570.055</v>
      </c>
      <c r="Q55" s="54">
        <f>(Q38-Q46)*IF(Q1&gt;Assumptions!$D$68*12,0,1)</f>
        <v>121570.055</v>
      </c>
      <c r="R55" s="54">
        <f>(R38-R46)*IF(R1&gt;Assumptions!$D$68*12,0,1)</f>
        <v>121570.055</v>
      </c>
      <c r="S55" s="54">
        <f>(S38-S46)*IF(S1&gt;Assumptions!$D$68*12,0,1)</f>
        <v>121570.055</v>
      </c>
      <c r="T55" s="54">
        <f>(T38-T46)*IF(T1&gt;Assumptions!$D$68*12,0,1)</f>
        <v>121570.055</v>
      </c>
      <c r="U55" s="54">
        <f>(U38-U46)*IF(U1&gt;Assumptions!$D$68*12,0,1)</f>
        <v>121570.055</v>
      </c>
      <c r="V55" s="54">
        <f>(V38-V46)*IF(V1&gt;Assumptions!$D$68*12,0,1)</f>
        <v>121570.055</v>
      </c>
      <c r="W55" s="54">
        <f>(W38-W46)*IF(W1&gt;Assumptions!$D$68*12,0,1)</f>
        <v>121570.055</v>
      </c>
      <c r="X55" s="54">
        <f>(X38-X46)*IF(X1&gt;Assumptions!$D$68*12,0,1)</f>
        <v>121570.055</v>
      </c>
      <c r="Y55" s="54">
        <f>(Y38-Y46)*IF(Y1&gt;Assumptions!$D$68*12,0,1)</f>
        <v>121570.055</v>
      </c>
      <c r="Z55" s="54">
        <f>(Z38-Z46)*IF(Z1&gt;Assumptions!$D$68*12,0,1)</f>
        <v>121570.055</v>
      </c>
      <c r="AA55" s="54">
        <f>(AA38-AA46)*IF(AA1&gt;Assumptions!$D$68*12,0,1)</f>
        <v>121570.055</v>
      </c>
      <c r="AB55" s="54">
        <f>(AB38-AB46)*IF(AB1&gt;Assumptions!$D$68*12,0,1)</f>
        <v>125217.1566</v>
      </c>
      <c r="AC55" s="54">
        <f>(AC38-AC46)*IF(AC1&gt;Assumptions!$D$68*12,0,1)</f>
        <v>125217.1566</v>
      </c>
      <c r="AD55" s="54">
        <f>(AD38-AD46)*IF(AD1&gt;Assumptions!$D$68*12,0,1)</f>
        <v>125217.1566</v>
      </c>
      <c r="AE55" s="54">
        <f>(AE38-AE46)*IF(AE1&gt;Assumptions!$D$68*12,0,1)</f>
        <v>125217.1566</v>
      </c>
      <c r="AF55" s="54">
        <f>(AF38-AF46)*IF(AF1&gt;Assumptions!$D$68*12,0,1)</f>
        <v>125217.1566</v>
      </c>
      <c r="AG55" s="54">
        <f>(AG38-AG46)*IF(AG1&gt;Assumptions!$D$68*12,0,1)</f>
        <v>125217.1566</v>
      </c>
      <c r="AH55" s="54">
        <f>(AH38-AH46)*IF(AH1&gt;Assumptions!$D$68*12,0,1)</f>
        <v>125217.1566</v>
      </c>
      <c r="AI55" s="54">
        <f>(AI38-AI46)*IF(AI1&gt;Assumptions!$D$68*12,0,1)</f>
        <v>125217.1566</v>
      </c>
      <c r="AJ55" s="54">
        <f>(AJ38-AJ46)*IF(AJ1&gt;Assumptions!$D$68*12,0,1)</f>
        <v>125217.1566</v>
      </c>
      <c r="AK55" s="54">
        <f>(AK38-AK46)*IF(AK1&gt;Assumptions!$D$68*12,0,1)</f>
        <v>125217.1566</v>
      </c>
      <c r="AL55" s="54">
        <f>(AL38-AL46)*IF(AL1&gt;Assumptions!$D$68*12,0,1)</f>
        <v>125217.1566</v>
      </c>
      <c r="AM55" s="54">
        <f>(AM38-AM46)*IF(AM1&gt;Assumptions!$D$68*12,0,1)</f>
        <v>125217.1566</v>
      </c>
      <c r="AN55" s="54">
        <f>(AN38-AN46)*IF(AN1&gt;Assumptions!$D$68*12,0,1)</f>
        <v>49288.66599</v>
      </c>
      <c r="AO55" s="54">
        <f>(AO38-AO46)*IF(AO1&gt;Assumptions!$D$68*12,0,1)</f>
        <v>49288.66599</v>
      </c>
      <c r="AP55" s="54">
        <f>(AP38-AP46)*IF(AP1&gt;Assumptions!$D$68*12,0,1)</f>
        <v>49288.66599</v>
      </c>
      <c r="AQ55" s="54">
        <f>(AQ38-AQ46)*IF(AQ1&gt;Assumptions!$D$68*12,0,1)</f>
        <v>49288.66599</v>
      </c>
      <c r="AR55" s="54">
        <f>(AR38-AR46)*IF(AR1&gt;Assumptions!$D$68*12,0,1)</f>
        <v>49288.66599</v>
      </c>
      <c r="AS55" s="54">
        <f>(AS38-AS46)*IF(AS1&gt;Assumptions!$D$68*12,0,1)</f>
        <v>49288.66599</v>
      </c>
      <c r="AT55" s="54">
        <f>(AT38-AT46)*IF(AT1&gt;Assumptions!$D$68*12,0,1)</f>
        <v>49288.66599</v>
      </c>
      <c r="AU55" s="54">
        <f>(AU38-AU46)*IF(AU1&gt;Assumptions!$D$68*12,0,1)</f>
        <v>49288.66599</v>
      </c>
      <c r="AV55" s="54">
        <f>(AV38-AV46)*IF(AV1&gt;Assumptions!$D$68*12,0,1)</f>
        <v>49288.66599</v>
      </c>
      <c r="AW55" s="54">
        <f>(AW38-AW46)*IF(AW1&gt;Assumptions!$D$68*12,0,1)</f>
        <v>49288.66599</v>
      </c>
      <c r="AX55" s="54">
        <f>(AX38-AX46)*IF(AX1&gt;Assumptions!$D$68*12,0,1)</f>
        <v>49288.66599</v>
      </c>
      <c r="AY55" s="54">
        <f>(AY38-AY46)*IF(AY1&gt;Assumptions!$D$68*12,0,1)</f>
        <v>49288.66599</v>
      </c>
      <c r="AZ55" s="54">
        <f>(AZ38-AZ46)*IF(AZ1&gt;Assumptions!$D$68*12,0,1)</f>
        <v>53157.87613</v>
      </c>
      <c r="BA55" s="54">
        <f>(BA38-BA46)*IF(BA1&gt;Assumptions!$D$68*12,0,1)</f>
        <v>53157.87613</v>
      </c>
      <c r="BB55" s="54">
        <f>(BB38-BB46)*IF(BB1&gt;Assumptions!$D$68*12,0,1)</f>
        <v>53157.87613</v>
      </c>
      <c r="BC55" s="54">
        <f>(BC38-BC46)*IF(BC1&gt;Assumptions!$D$68*12,0,1)</f>
        <v>53157.87613</v>
      </c>
      <c r="BD55" s="54">
        <f>(BD38-BD46)*IF(BD1&gt;Assumptions!$D$68*12,0,1)</f>
        <v>53157.87613</v>
      </c>
      <c r="BE55" s="54">
        <f>(BE38-BE46)*IF(BE1&gt;Assumptions!$D$68*12,0,1)</f>
        <v>53157.87613</v>
      </c>
      <c r="BF55" s="54">
        <f>(BF38-BF46)*IF(BF1&gt;Assumptions!$D$68*12,0,1)</f>
        <v>53157.87613</v>
      </c>
      <c r="BG55" s="54">
        <f>(BG38-BG46)*IF(BG1&gt;Assumptions!$D$68*12,0,1)</f>
        <v>53157.87613</v>
      </c>
      <c r="BH55" s="54">
        <f>(BH38-BH46)*IF(BH1&gt;Assumptions!$D$68*12,0,1)</f>
        <v>53157.87613</v>
      </c>
      <c r="BI55" s="54">
        <f>(BI38-BI46)*IF(BI1&gt;Assumptions!$D$68*12,0,1)</f>
        <v>53157.87613</v>
      </c>
      <c r="BJ55" s="54">
        <f>(BJ38-BJ46)*IF(BJ1&gt;Assumptions!$D$68*12,0,1)</f>
        <v>53157.87613</v>
      </c>
      <c r="BK55" s="54">
        <f>(BK38-BK46)*IF(BK1&gt;Assumptions!$D$68*12,0,1)</f>
        <v>53157.87613</v>
      </c>
      <c r="BL55" s="54">
        <f>(BL38-BL46)*IF(BL1&gt;Assumptions!$D$68*12,0,1)</f>
        <v>57143.16258</v>
      </c>
      <c r="BM55" s="54">
        <f>(BM38-BM46)*IF(BM1&gt;Assumptions!$D$68*12,0,1)</f>
        <v>57143.16258</v>
      </c>
      <c r="BN55" s="54">
        <f>(BN38-BN46)*IF(BN1&gt;Assumptions!$D$68*12,0,1)</f>
        <v>57143.16258</v>
      </c>
      <c r="BO55" s="54">
        <f>(BO38-BO46)*IF(BO1&gt;Assumptions!$D$68*12,0,1)</f>
        <v>57143.16258</v>
      </c>
      <c r="BP55" s="54">
        <f>(BP38-BP46)*IF(BP1&gt;Assumptions!$D$68*12,0,1)</f>
        <v>57143.16258</v>
      </c>
      <c r="BQ55" s="54">
        <f>(BQ38-BQ46)*IF(BQ1&gt;Assumptions!$D$68*12,0,1)</f>
        <v>57143.16258</v>
      </c>
      <c r="BR55" s="54">
        <f>(BR38-BR46)*IF(BR1&gt;Assumptions!$D$68*12,0,1)</f>
        <v>57143.16258</v>
      </c>
      <c r="BS55" s="54">
        <f>(BS38-BS46)*IF(BS1&gt;Assumptions!$D$68*12,0,1)</f>
        <v>57143.16258</v>
      </c>
      <c r="BT55" s="54">
        <f>(BT38-BT46)*IF(BT1&gt;Assumptions!$D$68*12,0,1)</f>
        <v>57143.16258</v>
      </c>
      <c r="BU55" s="54">
        <f>(BU38-BU46)*IF(BU1&gt;Assumptions!$D$68*12,0,1)</f>
        <v>57143.16258</v>
      </c>
      <c r="BV55" s="54">
        <f>(BV38-BV46)*IF(BV1&gt;Assumptions!$D$68*12,0,1)</f>
        <v>57143.16258</v>
      </c>
      <c r="BW55" s="54">
        <f>(BW38-BW46)*IF(BW1&gt;Assumptions!$D$68*12,0,1)</f>
        <v>57143.16258</v>
      </c>
      <c r="BX55" s="54">
        <f>(BX38-BX46)*IF(BX1&gt;Assumptions!$D$68*12,0,1)</f>
        <v>61248.00761</v>
      </c>
      <c r="BY55" s="54">
        <f>(BY38-BY46)*IF(BY1&gt;Assumptions!$D$68*12,0,1)</f>
        <v>61248.00761</v>
      </c>
      <c r="BZ55" s="54">
        <f>(BZ38-BZ46)*IF(BZ1&gt;Assumptions!$D$68*12,0,1)</f>
        <v>61248.00761</v>
      </c>
      <c r="CA55" s="54">
        <f>(CA38-CA46)*IF(CA1&gt;Assumptions!$D$68*12,0,1)</f>
        <v>61248.00761</v>
      </c>
      <c r="CB55" s="54">
        <f>(CB38-CB46)*IF(CB1&gt;Assumptions!$D$68*12,0,1)</f>
        <v>61248.00761</v>
      </c>
      <c r="CC55" s="54">
        <f>(CC38-CC46)*IF(CC1&gt;Assumptions!$D$68*12,0,1)</f>
        <v>61248.00761</v>
      </c>
      <c r="CD55" s="54">
        <f>(CD38-CD46)*IF(CD1&gt;Assumptions!$D$68*12,0,1)</f>
        <v>61248.00761</v>
      </c>
      <c r="CE55" s="54">
        <f>(CE38-CE46)*IF(CE1&gt;Assumptions!$D$68*12,0,1)</f>
        <v>61248.00761</v>
      </c>
      <c r="CF55" s="54">
        <f>(CF38-CF46)*IF(CF1&gt;Assumptions!$D$68*12,0,1)</f>
        <v>61248.00761</v>
      </c>
      <c r="CG55" s="54">
        <f>(CG38-CG46)*IF(CG1&gt;Assumptions!$D$68*12,0,1)</f>
        <v>61248.00761</v>
      </c>
      <c r="CH55" s="54">
        <f>(CH38-CH46)*IF(CH1&gt;Assumptions!$D$68*12,0,1)</f>
        <v>61248.00761</v>
      </c>
      <c r="CI55" s="54">
        <f>(CI38-CI46)*IF(CI1&gt;Assumptions!$D$68*12,0,1)</f>
        <v>61248.00761</v>
      </c>
      <c r="CJ55" s="54">
        <f>(CJ38-CJ46)*IF(CJ1&gt;Assumptions!$D$68*12,0,1)</f>
        <v>65475.998</v>
      </c>
      <c r="CK55" s="54">
        <f>(CK38-CK46)*IF(CK1&gt;Assumptions!$D$68*12,0,1)</f>
        <v>65475.998</v>
      </c>
      <c r="CL55" s="54">
        <f>(CL38-CL46)*IF(CL1&gt;Assumptions!$D$68*12,0,1)</f>
        <v>65475.998</v>
      </c>
      <c r="CM55" s="54">
        <f>(CM38-CM46)*IF(CM1&gt;Assumptions!$D$68*12,0,1)</f>
        <v>65475.998</v>
      </c>
      <c r="CN55" s="54">
        <f>(CN38-CN46)*IF(CN1&gt;Assumptions!$D$68*12,0,1)</f>
        <v>65475.998</v>
      </c>
      <c r="CO55" s="54">
        <f>(CO38-CO46)*IF(CO1&gt;Assumptions!$D$68*12,0,1)</f>
        <v>65475.998</v>
      </c>
      <c r="CP55" s="54">
        <f>(CP38-CP46)*IF(CP1&gt;Assumptions!$D$68*12,0,1)</f>
        <v>65475.998</v>
      </c>
      <c r="CQ55" s="54">
        <f>(CQ38-CQ46)*IF(CQ1&gt;Assumptions!$D$68*12,0,1)</f>
        <v>65475.998</v>
      </c>
      <c r="CR55" s="54">
        <f>(CR38-CR46)*IF(CR1&gt;Assumptions!$D$68*12,0,1)</f>
        <v>65475.998</v>
      </c>
      <c r="CS55" s="54">
        <f>(CS38-CS46)*IF(CS1&gt;Assumptions!$D$68*12,0,1)</f>
        <v>65475.998</v>
      </c>
      <c r="CT55" s="54">
        <f>(CT38-CT46)*IF(CT1&gt;Assumptions!$D$68*12,0,1)</f>
        <v>65475.998</v>
      </c>
      <c r="CU55" s="54">
        <f>(CU38-CU46)*IF(CU1&gt;Assumptions!$D$68*12,0,1)</f>
        <v>65475.998</v>
      </c>
      <c r="CV55" s="54">
        <f>(CV38-CV46)*IF(CV1&gt;Assumptions!$D$68*12,0,1)</f>
        <v>69830.8281</v>
      </c>
      <c r="CW55" s="54">
        <f>(CW38-CW46)*IF(CW1&gt;Assumptions!$D$68*12,0,1)</f>
        <v>69830.8281</v>
      </c>
      <c r="CX55" s="54">
        <f>(CX38-CX46)*IF(CX1&gt;Assumptions!$D$68*12,0,1)</f>
        <v>69830.8281</v>
      </c>
      <c r="CY55" s="54">
        <f>(CY38-CY46)*IF(CY1&gt;Assumptions!$D$68*12,0,1)</f>
        <v>69830.8281</v>
      </c>
      <c r="CZ55" s="54">
        <f>(CZ38-CZ46)*IF(CZ1&gt;Assumptions!$D$68*12,0,1)</f>
        <v>69830.8281</v>
      </c>
      <c r="DA55" s="54">
        <f>(DA38-DA46)*IF(DA1&gt;Assumptions!$D$68*12,0,1)</f>
        <v>69830.8281</v>
      </c>
      <c r="DB55" s="54">
        <f>(DB38-DB46)*IF(DB1&gt;Assumptions!$D$68*12,0,1)</f>
        <v>69830.8281</v>
      </c>
      <c r="DC55" s="54">
        <f>(DC38-DC46)*IF(DC1&gt;Assumptions!$D$68*12,0,1)</f>
        <v>69830.8281</v>
      </c>
      <c r="DD55" s="54">
        <f>(DD38-DD46)*IF(DD1&gt;Assumptions!$D$68*12,0,1)</f>
        <v>69830.8281</v>
      </c>
      <c r="DE55" s="54">
        <f>(DE38-DE46)*IF(DE1&gt;Assumptions!$D$68*12,0,1)</f>
        <v>69830.8281</v>
      </c>
      <c r="DF55" s="54">
        <f>(DF38-DF46)*IF(DF1&gt;Assumptions!$D$68*12,0,1)</f>
        <v>69830.8281</v>
      </c>
      <c r="DG55" s="54">
        <f>(DG38-DG46)*IF(DG1&gt;Assumptions!$D$68*12,0,1)</f>
        <v>69830.8281</v>
      </c>
      <c r="DH55" s="54">
        <f>(DH38-DH46)*IF(DH1&gt;Assumptions!$D$68*12,0,1)</f>
        <v>74316.3031</v>
      </c>
      <c r="DI55" s="54">
        <f>(DI38-DI46)*IF(DI1&gt;Assumptions!$D$68*12,0,1)</f>
        <v>74316.3031</v>
      </c>
      <c r="DJ55" s="54">
        <f>(DJ38-DJ46)*IF(DJ1&gt;Assumptions!$D$68*12,0,1)</f>
        <v>74316.3031</v>
      </c>
      <c r="DK55" s="54">
        <f>(DK38-DK46)*IF(DK1&gt;Assumptions!$D$68*12,0,1)</f>
        <v>74316.3031</v>
      </c>
      <c r="DL55" s="54">
        <f>(DL38-DL46)*IF(DL1&gt;Assumptions!$D$68*12,0,1)</f>
        <v>74316.3031</v>
      </c>
      <c r="DM55" s="54">
        <f>(DM38-DM46)*IF(DM1&gt;Assumptions!$D$68*12,0,1)</f>
        <v>74316.3031</v>
      </c>
      <c r="DN55" s="54">
        <f>(DN38-DN46)*IF(DN1&gt;Assumptions!$D$68*12,0,1)</f>
        <v>74316.3031</v>
      </c>
      <c r="DO55" s="54">
        <f>(DO38-DO46)*IF(DO1&gt;Assumptions!$D$68*12,0,1)</f>
        <v>74316.3031</v>
      </c>
      <c r="DP55" s="54">
        <f>(DP38-DP46)*IF(DP1&gt;Assumptions!$D$68*12,0,1)</f>
        <v>74316.3031</v>
      </c>
      <c r="DQ55" s="54">
        <f>(DQ38-DQ46)*IF(DQ1&gt;Assumptions!$D$68*12,0,1)</f>
        <v>74316.3031</v>
      </c>
      <c r="DR55" s="54">
        <f>(DR38-DR46)*IF(DR1&gt;Assumptions!$D$68*12,0,1)</f>
        <v>74316.3031</v>
      </c>
      <c r="DS55" s="54">
        <f>(DS38-DS46)*IF(DS1&gt;Assumptions!$D$68*12,0,1)</f>
        <v>74316.3031</v>
      </c>
      <c r="DT55" s="54">
        <f>(DT38-DT46)*IF(DT1&gt;Assumptions!$D$68*12,0,1)</f>
        <v>0</v>
      </c>
      <c r="DU55" s="54">
        <f>(DU38-DU46)*IF(DU1&gt;Assumptions!$D$68*12,0,1)</f>
        <v>0</v>
      </c>
      <c r="DV55" s="54">
        <f>(DV38-DV46)*IF(DV1&gt;Assumptions!$D$68*12,0,1)</f>
        <v>0</v>
      </c>
      <c r="DW55" s="54">
        <f>(DW38-DW46)*IF(DW1&gt;Assumptions!$D$68*12,0,1)</f>
        <v>0</v>
      </c>
      <c r="DX55" s="54">
        <f>(DX38-DX46)*IF(DX1&gt;Assumptions!$D$68*12,0,1)</f>
        <v>0</v>
      </c>
      <c r="DY55" s="54">
        <f>(DY38-DY46)*IF(DY1&gt;Assumptions!$D$68*12,0,1)</f>
        <v>0</v>
      </c>
      <c r="DZ55" s="54">
        <f>(DZ38-DZ46)*IF(DZ1&gt;Assumptions!$D$68*12,0,1)</f>
        <v>0</v>
      </c>
      <c r="EA55" s="54">
        <f>(EA38-EA46)*IF(EA1&gt;Assumptions!$D$68*12,0,1)</f>
        <v>0</v>
      </c>
      <c r="EB55" s="54">
        <f>(EB38-EB46)*IF(EB1&gt;Assumptions!$D$68*12,0,1)</f>
        <v>0</v>
      </c>
      <c r="EC55" s="54">
        <f>(EC38-EC46)*IF(EC1&gt;Assumptions!$D$68*12,0,1)</f>
        <v>0</v>
      </c>
      <c r="ED55" s="54">
        <f>(ED38-ED46)*IF(ED1&gt;Assumptions!$D$68*12,0,1)</f>
        <v>0</v>
      </c>
      <c r="EE55" s="54">
        <f>(EE38-EE46)*IF(EE1&gt;Assumptions!$D$68*12,0,1)</f>
        <v>0</v>
      </c>
    </row>
    <row r="56" ht="15.75" customHeight="1">
      <c r="A56" s="1"/>
      <c r="B56" s="1"/>
      <c r="C56" s="1" t="s">
        <v>153</v>
      </c>
      <c r="D56" s="54">
        <f t="shared" ref="D56:EE56" si="12">D53</f>
        <v>0</v>
      </c>
      <c r="E56" s="54">
        <f t="shared" si="12"/>
        <v>0</v>
      </c>
      <c r="F56" s="54">
        <f t="shared" si="12"/>
        <v>0</v>
      </c>
      <c r="G56" s="54">
        <f t="shared" si="12"/>
        <v>0</v>
      </c>
      <c r="H56" s="54">
        <f t="shared" si="12"/>
        <v>0</v>
      </c>
      <c r="I56" s="54">
        <f t="shared" si="12"/>
        <v>0</v>
      </c>
      <c r="J56" s="54">
        <f t="shared" si="12"/>
        <v>0</v>
      </c>
      <c r="K56" s="54">
        <f t="shared" si="12"/>
        <v>0</v>
      </c>
      <c r="L56" s="54">
        <f t="shared" si="12"/>
        <v>0</v>
      </c>
      <c r="M56" s="54">
        <f t="shared" si="12"/>
        <v>0</v>
      </c>
      <c r="N56" s="54">
        <f t="shared" si="12"/>
        <v>0</v>
      </c>
      <c r="O56" s="54">
        <f t="shared" si="12"/>
        <v>0</v>
      </c>
      <c r="P56" s="54">
        <f t="shared" si="12"/>
        <v>0</v>
      </c>
      <c r="Q56" s="54">
        <f t="shared" si="12"/>
        <v>0</v>
      </c>
      <c r="R56" s="54">
        <f t="shared" si="12"/>
        <v>0</v>
      </c>
      <c r="S56" s="54">
        <f t="shared" si="12"/>
        <v>0</v>
      </c>
      <c r="T56" s="54">
        <f t="shared" si="12"/>
        <v>0</v>
      </c>
      <c r="U56" s="54">
        <f t="shared" si="12"/>
        <v>0</v>
      </c>
      <c r="V56" s="54">
        <f t="shared" si="12"/>
        <v>0</v>
      </c>
      <c r="W56" s="54">
        <f t="shared" si="12"/>
        <v>0</v>
      </c>
      <c r="X56" s="54">
        <f t="shared" si="12"/>
        <v>0</v>
      </c>
      <c r="Y56" s="54">
        <f t="shared" si="12"/>
        <v>0</v>
      </c>
      <c r="Z56" s="54">
        <f t="shared" si="12"/>
        <v>0</v>
      </c>
      <c r="AA56" s="54">
        <f t="shared" si="12"/>
        <v>0</v>
      </c>
      <c r="AB56" s="54">
        <f t="shared" si="12"/>
        <v>0</v>
      </c>
      <c r="AC56" s="54">
        <f t="shared" si="12"/>
        <v>0</v>
      </c>
      <c r="AD56" s="54">
        <f t="shared" si="12"/>
        <v>0</v>
      </c>
      <c r="AE56" s="54">
        <f t="shared" si="12"/>
        <v>0</v>
      </c>
      <c r="AF56" s="54">
        <f t="shared" si="12"/>
        <v>0</v>
      </c>
      <c r="AG56" s="54">
        <f t="shared" si="12"/>
        <v>0</v>
      </c>
      <c r="AH56" s="54">
        <f t="shared" si="12"/>
        <v>0</v>
      </c>
      <c r="AI56" s="54">
        <f t="shared" si="12"/>
        <v>0</v>
      </c>
      <c r="AJ56" s="54">
        <f t="shared" si="12"/>
        <v>0</v>
      </c>
      <c r="AK56" s="54">
        <f t="shared" si="12"/>
        <v>0</v>
      </c>
      <c r="AL56" s="54">
        <f t="shared" si="12"/>
        <v>0</v>
      </c>
      <c r="AM56" s="54">
        <f t="shared" si="12"/>
        <v>0</v>
      </c>
      <c r="AN56" s="54">
        <f t="shared" si="12"/>
        <v>0</v>
      </c>
      <c r="AO56" s="54">
        <f t="shared" si="12"/>
        <v>0</v>
      </c>
      <c r="AP56" s="54">
        <f t="shared" si="12"/>
        <v>0</v>
      </c>
      <c r="AQ56" s="54">
        <f t="shared" si="12"/>
        <v>0</v>
      </c>
      <c r="AR56" s="54">
        <f t="shared" si="12"/>
        <v>0</v>
      </c>
      <c r="AS56" s="54">
        <f t="shared" si="12"/>
        <v>0</v>
      </c>
      <c r="AT56" s="54">
        <f t="shared" si="12"/>
        <v>0</v>
      </c>
      <c r="AU56" s="54">
        <f t="shared" si="12"/>
        <v>0</v>
      </c>
      <c r="AV56" s="54">
        <f t="shared" si="12"/>
        <v>0</v>
      </c>
      <c r="AW56" s="54">
        <f t="shared" si="12"/>
        <v>0</v>
      </c>
      <c r="AX56" s="54">
        <f t="shared" si="12"/>
        <v>0</v>
      </c>
      <c r="AY56" s="54">
        <f t="shared" si="12"/>
        <v>0</v>
      </c>
      <c r="AZ56" s="54">
        <f t="shared" si="12"/>
        <v>0</v>
      </c>
      <c r="BA56" s="54">
        <f t="shared" si="12"/>
        <v>0</v>
      </c>
      <c r="BB56" s="54">
        <f t="shared" si="12"/>
        <v>0</v>
      </c>
      <c r="BC56" s="54">
        <f t="shared" si="12"/>
        <v>0</v>
      </c>
      <c r="BD56" s="54">
        <f t="shared" si="12"/>
        <v>0</v>
      </c>
      <c r="BE56" s="54">
        <f t="shared" si="12"/>
        <v>0</v>
      </c>
      <c r="BF56" s="54">
        <f t="shared" si="12"/>
        <v>0</v>
      </c>
      <c r="BG56" s="54">
        <f t="shared" si="12"/>
        <v>0</v>
      </c>
      <c r="BH56" s="54">
        <f t="shared" si="12"/>
        <v>0</v>
      </c>
      <c r="BI56" s="54">
        <f t="shared" si="12"/>
        <v>0</v>
      </c>
      <c r="BJ56" s="54">
        <f t="shared" si="12"/>
        <v>0</v>
      </c>
      <c r="BK56" s="54">
        <f t="shared" si="12"/>
        <v>0</v>
      </c>
      <c r="BL56" s="54">
        <f t="shared" si="12"/>
        <v>0</v>
      </c>
      <c r="BM56" s="54">
        <f t="shared" si="12"/>
        <v>0</v>
      </c>
      <c r="BN56" s="54">
        <f t="shared" si="12"/>
        <v>0</v>
      </c>
      <c r="BO56" s="54">
        <f t="shared" si="12"/>
        <v>0</v>
      </c>
      <c r="BP56" s="54">
        <f t="shared" si="12"/>
        <v>0</v>
      </c>
      <c r="BQ56" s="54">
        <f t="shared" si="12"/>
        <v>0</v>
      </c>
      <c r="BR56" s="54">
        <f t="shared" si="12"/>
        <v>0</v>
      </c>
      <c r="BS56" s="54">
        <f t="shared" si="12"/>
        <v>0</v>
      </c>
      <c r="BT56" s="54">
        <f t="shared" si="12"/>
        <v>0</v>
      </c>
      <c r="BU56" s="54">
        <f t="shared" si="12"/>
        <v>0</v>
      </c>
      <c r="BV56" s="54">
        <f t="shared" si="12"/>
        <v>0</v>
      </c>
      <c r="BW56" s="54">
        <f t="shared" si="12"/>
        <v>0</v>
      </c>
      <c r="BX56" s="54">
        <f t="shared" si="12"/>
        <v>0</v>
      </c>
      <c r="BY56" s="54">
        <f t="shared" si="12"/>
        <v>0</v>
      </c>
      <c r="BZ56" s="54">
        <f t="shared" si="12"/>
        <v>0</v>
      </c>
      <c r="CA56" s="54">
        <f t="shared" si="12"/>
        <v>0</v>
      </c>
      <c r="CB56" s="54">
        <f t="shared" si="12"/>
        <v>0</v>
      </c>
      <c r="CC56" s="54">
        <f t="shared" si="12"/>
        <v>0</v>
      </c>
      <c r="CD56" s="54">
        <f t="shared" si="12"/>
        <v>0</v>
      </c>
      <c r="CE56" s="54">
        <f t="shared" si="12"/>
        <v>0</v>
      </c>
      <c r="CF56" s="54">
        <f t="shared" si="12"/>
        <v>0</v>
      </c>
      <c r="CG56" s="54">
        <f t="shared" si="12"/>
        <v>0</v>
      </c>
      <c r="CH56" s="54">
        <f t="shared" si="12"/>
        <v>0</v>
      </c>
      <c r="CI56" s="54">
        <f t="shared" si="12"/>
        <v>0</v>
      </c>
      <c r="CJ56" s="54">
        <f t="shared" si="12"/>
        <v>0</v>
      </c>
      <c r="CK56" s="54">
        <f t="shared" si="12"/>
        <v>0</v>
      </c>
      <c r="CL56" s="54">
        <f t="shared" si="12"/>
        <v>0</v>
      </c>
      <c r="CM56" s="54">
        <f t="shared" si="12"/>
        <v>0</v>
      </c>
      <c r="CN56" s="54">
        <f t="shared" si="12"/>
        <v>0</v>
      </c>
      <c r="CO56" s="54">
        <f t="shared" si="12"/>
        <v>0</v>
      </c>
      <c r="CP56" s="54">
        <f t="shared" si="12"/>
        <v>0</v>
      </c>
      <c r="CQ56" s="54">
        <f t="shared" si="12"/>
        <v>0</v>
      </c>
      <c r="CR56" s="54">
        <f t="shared" si="12"/>
        <v>0</v>
      </c>
      <c r="CS56" s="54">
        <f t="shared" si="12"/>
        <v>0</v>
      </c>
      <c r="CT56" s="54">
        <f t="shared" si="12"/>
        <v>0</v>
      </c>
      <c r="CU56" s="54">
        <f t="shared" si="12"/>
        <v>0</v>
      </c>
      <c r="CV56" s="54">
        <f t="shared" si="12"/>
        <v>0</v>
      </c>
      <c r="CW56" s="54">
        <f t="shared" si="12"/>
        <v>0</v>
      </c>
      <c r="CX56" s="54">
        <f t="shared" si="12"/>
        <v>0</v>
      </c>
      <c r="CY56" s="54">
        <f t="shared" si="12"/>
        <v>0</v>
      </c>
      <c r="CZ56" s="54">
        <f t="shared" si="12"/>
        <v>0</v>
      </c>
      <c r="DA56" s="54">
        <f t="shared" si="12"/>
        <v>0</v>
      </c>
      <c r="DB56" s="54">
        <f t="shared" si="12"/>
        <v>0</v>
      </c>
      <c r="DC56" s="54">
        <f t="shared" si="12"/>
        <v>0</v>
      </c>
      <c r="DD56" s="54">
        <f t="shared" si="12"/>
        <v>0</v>
      </c>
      <c r="DE56" s="54">
        <f t="shared" si="12"/>
        <v>0</v>
      </c>
      <c r="DF56" s="54">
        <f t="shared" si="12"/>
        <v>0</v>
      </c>
      <c r="DG56" s="54">
        <f t="shared" si="12"/>
        <v>0</v>
      </c>
      <c r="DH56" s="54">
        <f t="shared" si="12"/>
        <v>0</v>
      </c>
      <c r="DI56" s="54">
        <f t="shared" si="12"/>
        <v>0</v>
      </c>
      <c r="DJ56" s="54">
        <f t="shared" si="12"/>
        <v>0</v>
      </c>
      <c r="DK56" s="54">
        <f t="shared" si="12"/>
        <v>0</v>
      </c>
      <c r="DL56" s="54">
        <f t="shared" si="12"/>
        <v>0</v>
      </c>
      <c r="DM56" s="54">
        <f t="shared" si="12"/>
        <v>0</v>
      </c>
      <c r="DN56" s="54">
        <f t="shared" si="12"/>
        <v>0</v>
      </c>
      <c r="DO56" s="54">
        <f t="shared" si="12"/>
        <v>0</v>
      </c>
      <c r="DP56" s="54">
        <f t="shared" si="12"/>
        <v>0</v>
      </c>
      <c r="DQ56" s="54">
        <f t="shared" si="12"/>
        <v>0</v>
      </c>
      <c r="DR56" s="54">
        <f t="shared" si="12"/>
        <v>0</v>
      </c>
      <c r="DS56" s="54">
        <f t="shared" si="12"/>
        <v>17419454.09</v>
      </c>
      <c r="DT56" s="54">
        <f t="shared" si="12"/>
        <v>0</v>
      </c>
      <c r="DU56" s="54">
        <f t="shared" si="12"/>
        <v>0</v>
      </c>
      <c r="DV56" s="54">
        <f t="shared" si="12"/>
        <v>0</v>
      </c>
      <c r="DW56" s="54">
        <f t="shared" si="12"/>
        <v>0</v>
      </c>
      <c r="DX56" s="54">
        <f t="shared" si="12"/>
        <v>0</v>
      </c>
      <c r="DY56" s="54">
        <f t="shared" si="12"/>
        <v>0</v>
      </c>
      <c r="DZ56" s="54">
        <f t="shared" si="12"/>
        <v>0</v>
      </c>
      <c r="EA56" s="54">
        <f t="shared" si="12"/>
        <v>0</v>
      </c>
      <c r="EB56" s="54">
        <f t="shared" si="12"/>
        <v>0</v>
      </c>
      <c r="EC56" s="54">
        <f t="shared" si="12"/>
        <v>0</v>
      </c>
      <c r="ED56" s="54">
        <f t="shared" si="12"/>
        <v>0</v>
      </c>
      <c r="EE56" s="54">
        <f t="shared" si="12"/>
        <v>0</v>
      </c>
    </row>
    <row r="57" ht="15.75" customHeight="1">
      <c r="A57" s="1"/>
      <c r="B57" s="92"/>
      <c r="C57" s="47" t="s">
        <v>154</v>
      </c>
      <c r="D57" s="209">
        <f t="shared" ref="D57:EE57" si="13">SUM(D55:D56)</f>
        <v>104769.1383</v>
      </c>
      <c r="E57" s="209">
        <f t="shared" si="13"/>
        <v>104769.1383</v>
      </c>
      <c r="F57" s="209">
        <f t="shared" si="13"/>
        <v>104769.1383</v>
      </c>
      <c r="G57" s="209">
        <f t="shared" si="13"/>
        <v>104769.1383</v>
      </c>
      <c r="H57" s="209">
        <f t="shared" si="13"/>
        <v>104769.1383</v>
      </c>
      <c r="I57" s="209">
        <f t="shared" si="13"/>
        <v>104769.1383</v>
      </c>
      <c r="J57" s="209">
        <f t="shared" si="13"/>
        <v>104769.1383</v>
      </c>
      <c r="K57" s="209">
        <f t="shared" si="13"/>
        <v>104769.1383</v>
      </c>
      <c r="L57" s="209">
        <f t="shared" si="13"/>
        <v>104769.1383</v>
      </c>
      <c r="M57" s="209">
        <f t="shared" si="13"/>
        <v>104769.1383</v>
      </c>
      <c r="N57" s="209">
        <f t="shared" si="13"/>
        <v>104769.1383</v>
      </c>
      <c r="O57" s="209">
        <f t="shared" si="13"/>
        <v>104769.1383</v>
      </c>
      <c r="P57" s="209">
        <f t="shared" si="13"/>
        <v>121570.055</v>
      </c>
      <c r="Q57" s="209">
        <f t="shared" si="13"/>
        <v>121570.055</v>
      </c>
      <c r="R57" s="209">
        <f t="shared" si="13"/>
        <v>121570.055</v>
      </c>
      <c r="S57" s="209">
        <f t="shared" si="13"/>
        <v>121570.055</v>
      </c>
      <c r="T57" s="209">
        <f t="shared" si="13"/>
        <v>121570.055</v>
      </c>
      <c r="U57" s="209">
        <f t="shared" si="13"/>
        <v>121570.055</v>
      </c>
      <c r="V57" s="209">
        <f t="shared" si="13"/>
        <v>121570.055</v>
      </c>
      <c r="W57" s="209">
        <f t="shared" si="13"/>
        <v>121570.055</v>
      </c>
      <c r="X57" s="209">
        <f t="shared" si="13"/>
        <v>121570.055</v>
      </c>
      <c r="Y57" s="209">
        <f t="shared" si="13"/>
        <v>121570.055</v>
      </c>
      <c r="Z57" s="209">
        <f t="shared" si="13"/>
        <v>121570.055</v>
      </c>
      <c r="AA57" s="209">
        <f t="shared" si="13"/>
        <v>121570.055</v>
      </c>
      <c r="AB57" s="209">
        <f t="shared" si="13"/>
        <v>125217.1566</v>
      </c>
      <c r="AC57" s="209">
        <f t="shared" si="13"/>
        <v>125217.1566</v>
      </c>
      <c r="AD57" s="209">
        <f t="shared" si="13"/>
        <v>125217.1566</v>
      </c>
      <c r="AE57" s="209">
        <f t="shared" si="13"/>
        <v>125217.1566</v>
      </c>
      <c r="AF57" s="209">
        <f t="shared" si="13"/>
        <v>125217.1566</v>
      </c>
      <c r="AG57" s="209">
        <f t="shared" si="13"/>
        <v>125217.1566</v>
      </c>
      <c r="AH57" s="209">
        <f t="shared" si="13"/>
        <v>125217.1566</v>
      </c>
      <c r="AI57" s="209">
        <f t="shared" si="13"/>
        <v>125217.1566</v>
      </c>
      <c r="AJ57" s="209">
        <f t="shared" si="13"/>
        <v>125217.1566</v>
      </c>
      <c r="AK57" s="209">
        <f t="shared" si="13"/>
        <v>125217.1566</v>
      </c>
      <c r="AL57" s="209">
        <f t="shared" si="13"/>
        <v>125217.1566</v>
      </c>
      <c r="AM57" s="209">
        <f t="shared" si="13"/>
        <v>125217.1566</v>
      </c>
      <c r="AN57" s="209">
        <f t="shared" si="13"/>
        <v>49288.66599</v>
      </c>
      <c r="AO57" s="209">
        <f t="shared" si="13"/>
        <v>49288.66599</v>
      </c>
      <c r="AP57" s="209">
        <f t="shared" si="13"/>
        <v>49288.66599</v>
      </c>
      <c r="AQ57" s="209">
        <f t="shared" si="13"/>
        <v>49288.66599</v>
      </c>
      <c r="AR57" s="209">
        <f t="shared" si="13"/>
        <v>49288.66599</v>
      </c>
      <c r="AS57" s="209">
        <f t="shared" si="13"/>
        <v>49288.66599</v>
      </c>
      <c r="AT57" s="209">
        <f t="shared" si="13"/>
        <v>49288.66599</v>
      </c>
      <c r="AU57" s="209">
        <f t="shared" si="13"/>
        <v>49288.66599</v>
      </c>
      <c r="AV57" s="209">
        <f t="shared" si="13"/>
        <v>49288.66599</v>
      </c>
      <c r="AW57" s="209">
        <f t="shared" si="13"/>
        <v>49288.66599</v>
      </c>
      <c r="AX57" s="209">
        <f t="shared" si="13"/>
        <v>49288.66599</v>
      </c>
      <c r="AY57" s="209">
        <f t="shared" si="13"/>
        <v>49288.66599</v>
      </c>
      <c r="AZ57" s="209">
        <f t="shared" si="13"/>
        <v>53157.87613</v>
      </c>
      <c r="BA57" s="209">
        <f t="shared" si="13"/>
        <v>53157.87613</v>
      </c>
      <c r="BB57" s="209">
        <f t="shared" si="13"/>
        <v>53157.87613</v>
      </c>
      <c r="BC57" s="209">
        <f t="shared" si="13"/>
        <v>53157.87613</v>
      </c>
      <c r="BD57" s="209">
        <f t="shared" si="13"/>
        <v>53157.87613</v>
      </c>
      <c r="BE57" s="209">
        <f t="shared" si="13"/>
        <v>53157.87613</v>
      </c>
      <c r="BF57" s="209">
        <f t="shared" si="13"/>
        <v>53157.87613</v>
      </c>
      <c r="BG57" s="209">
        <f t="shared" si="13"/>
        <v>53157.87613</v>
      </c>
      <c r="BH57" s="209">
        <f t="shared" si="13"/>
        <v>53157.87613</v>
      </c>
      <c r="BI57" s="209">
        <f t="shared" si="13"/>
        <v>53157.87613</v>
      </c>
      <c r="BJ57" s="209">
        <f t="shared" si="13"/>
        <v>53157.87613</v>
      </c>
      <c r="BK57" s="209">
        <f t="shared" si="13"/>
        <v>53157.87613</v>
      </c>
      <c r="BL57" s="209">
        <f t="shared" si="13"/>
        <v>57143.16258</v>
      </c>
      <c r="BM57" s="209">
        <f t="shared" si="13"/>
        <v>57143.16258</v>
      </c>
      <c r="BN57" s="209">
        <f t="shared" si="13"/>
        <v>57143.16258</v>
      </c>
      <c r="BO57" s="209">
        <f t="shared" si="13"/>
        <v>57143.16258</v>
      </c>
      <c r="BP57" s="209">
        <f t="shared" si="13"/>
        <v>57143.16258</v>
      </c>
      <c r="BQ57" s="209">
        <f t="shared" si="13"/>
        <v>57143.16258</v>
      </c>
      <c r="BR57" s="209">
        <f t="shared" si="13"/>
        <v>57143.16258</v>
      </c>
      <c r="BS57" s="209">
        <f t="shared" si="13"/>
        <v>57143.16258</v>
      </c>
      <c r="BT57" s="209">
        <f t="shared" si="13"/>
        <v>57143.16258</v>
      </c>
      <c r="BU57" s="209">
        <f t="shared" si="13"/>
        <v>57143.16258</v>
      </c>
      <c r="BV57" s="209">
        <f t="shared" si="13"/>
        <v>57143.16258</v>
      </c>
      <c r="BW57" s="209">
        <f t="shared" si="13"/>
        <v>57143.16258</v>
      </c>
      <c r="BX57" s="209">
        <f t="shared" si="13"/>
        <v>61248.00761</v>
      </c>
      <c r="BY57" s="209">
        <f t="shared" si="13"/>
        <v>61248.00761</v>
      </c>
      <c r="BZ57" s="209">
        <f t="shared" si="13"/>
        <v>61248.00761</v>
      </c>
      <c r="CA57" s="209">
        <f t="shared" si="13"/>
        <v>61248.00761</v>
      </c>
      <c r="CB57" s="209">
        <f t="shared" si="13"/>
        <v>61248.00761</v>
      </c>
      <c r="CC57" s="209">
        <f t="shared" si="13"/>
        <v>61248.00761</v>
      </c>
      <c r="CD57" s="209">
        <f t="shared" si="13"/>
        <v>61248.00761</v>
      </c>
      <c r="CE57" s="209">
        <f t="shared" si="13"/>
        <v>61248.00761</v>
      </c>
      <c r="CF57" s="209">
        <f t="shared" si="13"/>
        <v>61248.00761</v>
      </c>
      <c r="CG57" s="209">
        <f t="shared" si="13"/>
        <v>61248.00761</v>
      </c>
      <c r="CH57" s="209">
        <f t="shared" si="13"/>
        <v>61248.00761</v>
      </c>
      <c r="CI57" s="209">
        <f t="shared" si="13"/>
        <v>61248.00761</v>
      </c>
      <c r="CJ57" s="209">
        <f t="shared" si="13"/>
        <v>65475.998</v>
      </c>
      <c r="CK57" s="209">
        <f t="shared" si="13"/>
        <v>65475.998</v>
      </c>
      <c r="CL57" s="209">
        <f t="shared" si="13"/>
        <v>65475.998</v>
      </c>
      <c r="CM57" s="209">
        <f t="shared" si="13"/>
        <v>65475.998</v>
      </c>
      <c r="CN57" s="209">
        <f t="shared" si="13"/>
        <v>65475.998</v>
      </c>
      <c r="CO57" s="209">
        <f t="shared" si="13"/>
        <v>65475.998</v>
      </c>
      <c r="CP57" s="209">
        <f t="shared" si="13"/>
        <v>65475.998</v>
      </c>
      <c r="CQ57" s="209">
        <f t="shared" si="13"/>
        <v>65475.998</v>
      </c>
      <c r="CR57" s="209">
        <f t="shared" si="13"/>
        <v>65475.998</v>
      </c>
      <c r="CS57" s="209">
        <f t="shared" si="13"/>
        <v>65475.998</v>
      </c>
      <c r="CT57" s="209">
        <f t="shared" si="13"/>
        <v>65475.998</v>
      </c>
      <c r="CU57" s="209">
        <f t="shared" si="13"/>
        <v>65475.998</v>
      </c>
      <c r="CV57" s="209">
        <f t="shared" si="13"/>
        <v>69830.8281</v>
      </c>
      <c r="CW57" s="209">
        <f t="shared" si="13"/>
        <v>69830.8281</v>
      </c>
      <c r="CX57" s="209">
        <f t="shared" si="13"/>
        <v>69830.8281</v>
      </c>
      <c r="CY57" s="209">
        <f t="shared" si="13"/>
        <v>69830.8281</v>
      </c>
      <c r="CZ57" s="209">
        <f t="shared" si="13"/>
        <v>69830.8281</v>
      </c>
      <c r="DA57" s="209">
        <f t="shared" si="13"/>
        <v>69830.8281</v>
      </c>
      <c r="DB57" s="209">
        <f t="shared" si="13"/>
        <v>69830.8281</v>
      </c>
      <c r="DC57" s="209">
        <f t="shared" si="13"/>
        <v>69830.8281</v>
      </c>
      <c r="DD57" s="209">
        <f t="shared" si="13"/>
        <v>69830.8281</v>
      </c>
      <c r="DE57" s="209">
        <f t="shared" si="13"/>
        <v>69830.8281</v>
      </c>
      <c r="DF57" s="209">
        <f t="shared" si="13"/>
        <v>69830.8281</v>
      </c>
      <c r="DG57" s="209">
        <f t="shared" si="13"/>
        <v>69830.8281</v>
      </c>
      <c r="DH57" s="209">
        <f t="shared" si="13"/>
        <v>74316.3031</v>
      </c>
      <c r="DI57" s="209">
        <f t="shared" si="13"/>
        <v>74316.3031</v>
      </c>
      <c r="DJ57" s="209">
        <f t="shared" si="13"/>
        <v>74316.3031</v>
      </c>
      <c r="DK57" s="209">
        <f t="shared" si="13"/>
        <v>74316.3031</v>
      </c>
      <c r="DL57" s="209">
        <f t="shared" si="13"/>
        <v>74316.3031</v>
      </c>
      <c r="DM57" s="209">
        <f t="shared" si="13"/>
        <v>74316.3031</v>
      </c>
      <c r="DN57" s="209">
        <f t="shared" si="13"/>
        <v>74316.3031</v>
      </c>
      <c r="DO57" s="209">
        <f t="shared" si="13"/>
        <v>74316.3031</v>
      </c>
      <c r="DP57" s="209">
        <f t="shared" si="13"/>
        <v>74316.3031</v>
      </c>
      <c r="DQ57" s="209">
        <f t="shared" si="13"/>
        <v>74316.3031</v>
      </c>
      <c r="DR57" s="209">
        <f t="shared" si="13"/>
        <v>74316.3031</v>
      </c>
      <c r="DS57" s="209">
        <f t="shared" si="13"/>
        <v>17493770.4</v>
      </c>
      <c r="DT57" s="209">
        <f t="shared" si="13"/>
        <v>0</v>
      </c>
      <c r="DU57" s="209">
        <f t="shared" si="13"/>
        <v>0</v>
      </c>
      <c r="DV57" s="209">
        <f t="shared" si="13"/>
        <v>0</v>
      </c>
      <c r="DW57" s="209">
        <f t="shared" si="13"/>
        <v>0</v>
      </c>
      <c r="DX57" s="209">
        <f t="shared" si="13"/>
        <v>0</v>
      </c>
      <c r="DY57" s="209">
        <f t="shared" si="13"/>
        <v>0</v>
      </c>
      <c r="DZ57" s="209">
        <f t="shared" si="13"/>
        <v>0</v>
      </c>
      <c r="EA57" s="209">
        <f t="shared" si="13"/>
        <v>0</v>
      </c>
      <c r="EB57" s="209">
        <f t="shared" si="13"/>
        <v>0</v>
      </c>
      <c r="EC57" s="209">
        <f t="shared" si="13"/>
        <v>0</v>
      </c>
      <c r="ED57" s="209">
        <f t="shared" si="13"/>
        <v>0</v>
      </c>
      <c r="EE57" s="209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84"/>
      <c r="B1" s="301" t="s">
        <v>192</v>
      </c>
      <c r="C1" s="84"/>
      <c r="D1" s="84">
        <v>1.0</v>
      </c>
      <c r="E1" s="84">
        <f t="shared" ref="E1:EE1" si="1">D1+1</f>
        <v>2</v>
      </c>
      <c r="F1" s="84">
        <f t="shared" si="1"/>
        <v>3</v>
      </c>
      <c r="G1" s="84">
        <f t="shared" si="1"/>
        <v>4</v>
      </c>
      <c r="H1" s="84">
        <f t="shared" si="1"/>
        <v>5</v>
      </c>
      <c r="I1" s="84">
        <f t="shared" si="1"/>
        <v>6</v>
      </c>
      <c r="J1" s="84">
        <f t="shared" si="1"/>
        <v>7</v>
      </c>
      <c r="K1" s="84">
        <f t="shared" si="1"/>
        <v>8</v>
      </c>
      <c r="L1" s="84">
        <f t="shared" si="1"/>
        <v>9</v>
      </c>
      <c r="M1" s="84">
        <f t="shared" si="1"/>
        <v>10</v>
      </c>
      <c r="N1" s="84">
        <f t="shared" si="1"/>
        <v>11</v>
      </c>
      <c r="O1" s="84">
        <f t="shared" si="1"/>
        <v>12</v>
      </c>
      <c r="P1" s="84">
        <f t="shared" si="1"/>
        <v>13</v>
      </c>
      <c r="Q1" s="84">
        <f t="shared" si="1"/>
        <v>14</v>
      </c>
      <c r="R1" s="84">
        <f t="shared" si="1"/>
        <v>15</v>
      </c>
      <c r="S1" s="84">
        <f t="shared" si="1"/>
        <v>16</v>
      </c>
      <c r="T1" s="84">
        <f t="shared" si="1"/>
        <v>17</v>
      </c>
      <c r="U1" s="84">
        <f t="shared" si="1"/>
        <v>18</v>
      </c>
      <c r="V1" s="84">
        <f t="shared" si="1"/>
        <v>19</v>
      </c>
      <c r="W1" s="84">
        <f t="shared" si="1"/>
        <v>20</v>
      </c>
      <c r="X1" s="84">
        <f t="shared" si="1"/>
        <v>21</v>
      </c>
      <c r="Y1" s="84">
        <f t="shared" si="1"/>
        <v>22</v>
      </c>
      <c r="Z1" s="84">
        <f t="shared" si="1"/>
        <v>23</v>
      </c>
      <c r="AA1" s="84">
        <f t="shared" si="1"/>
        <v>24</v>
      </c>
      <c r="AB1" s="84">
        <f t="shared" si="1"/>
        <v>25</v>
      </c>
      <c r="AC1" s="84">
        <f t="shared" si="1"/>
        <v>26</v>
      </c>
      <c r="AD1" s="84">
        <f t="shared" si="1"/>
        <v>27</v>
      </c>
      <c r="AE1" s="84">
        <f t="shared" si="1"/>
        <v>28</v>
      </c>
      <c r="AF1" s="84">
        <f t="shared" si="1"/>
        <v>29</v>
      </c>
      <c r="AG1" s="84">
        <f t="shared" si="1"/>
        <v>30</v>
      </c>
      <c r="AH1" s="84">
        <f t="shared" si="1"/>
        <v>31</v>
      </c>
      <c r="AI1" s="84">
        <f t="shared" si="1"/>
        <v>32</v>
      </c>
      <c r="AJ1" s="84">
        <f t="shared" si="1"/>
        <v>33</v>
      </c>
      <c r="AK1" s="84">
        <f t="shared" si="1"/>
        <v>34</v>
      </c>
      <c r="AL1" s="84">
        <f t="shared" si="1"/>
        <v>35</v>
      </c>
      <c r="AM1" s="84">
        <f t="shared" si="1"/>
        <v>36</v>
      </c>
      <c r="AN1" s="84">
        <f t="shared" si="1"/>
        <v>37</v>
      </c>
      <c r="AO1" s="84">
        <f t="shared" si="1"/>
        <v>38</v>
      </c>
      <c r="AP1" s="84">
        <f t="shared" si="1"/>
        <v>39</v>
      </c>
      <c r="AQ1" s="84">
        <f t="shared" si="1"/>
        <v>40</v>
      </c>
      <c r="AR1" s="84">
        <f t="shared" si="1"/>
        <v>41</v>
      </c>
      <c r="AS1" s="84">
        <f t="shared" si="1"/>
        <v>42</v>
      </c>
      <c r="AT1" s="84">
        <f t="shared" si="1"/>
        <v>43</v>
      </c>
      <c r="AU1" s="84">
        <f t="shared" si="1"/>
        <v>44</v>
      </c>
      <c r="AV1" s="84">
        <f t="shared" si="1"/>
        <v>45</v>
      </c>
      <c r="AW1" s="84">
        <f t="shared" si="1"/>
        <v>46</v>
      </c>
      <c r="AX1" s="84">
        <f t="shared" si="1"/>
        <v>47</v>
      </c>
      <c r="AY1" s="84">
        <f t="shared" si="1"/>
        <v>48</v>
      </c>
      <c r="AZ1" s="84">
        <f t="shared" si="1"/>
        <v>49</v>
      </c>
      <c r="BA1" s="84">
        <f t="shared" si="1"/>
        <v>50</v>
      </c>
      <c r="BB1" s="84">
        <f t="shared" si="1"/>
        <v>51</v>
      </c>
      <c r="BC1" s="84">
        <f t="shared" si="1"/>
        <v>52</v>
      </c>
      <c r="BD1" s="84">
        <f t="shared" si="1"/>
        <v>53</v>
      </c>
      <c r="BE1" s="84">
        <f t="shared" si="1"/>
        <v>54</v>
      </c>
      <c r="BF1" s="84">
        <f t="shared" si="1"/>
        <v>55</v>
      </c>
      <c r="BG1" s="84">
        <f t="shared" si="1"/>
        <v>56</v>
      </c>
      <c r="BH1" s="84">
        <f t="shared" si="1"/>
        <v>57</v>
      </c>
      <c r="BI1" s="84">
        <f t="shared" si="1"/>
        <v>58</v>
      </c>
      <c r="BJ1" s="84">
        <f t="shared" si="1"/>
        <v>59</v>
      </c>
      <c r="BK1" s="84">
        <f t="shared" si="1"/>
        <v>60</v>
      </c>
      <c r="BL1" s="84">
        <f t="shared" si="1"/>
        <v>61</v>
      </c>
      <c r="BM1" s="84">
        <f t="shared" si="1"/>
        <v>62</v>
      </c>
      <c r="BN1" s="84">
        <f t="shared" si="1"/>
        <v>63</v>
      </c>
      <c r="BO1" s="84">
        <f t="shared" si="1"/>
        <v>64</v>
      </c>
      <c r="BP1" s="84">
        <f t="shared" si="1"/>
        <v>65</v>
      </c>
      <c r="BQ1" s="84">
        <f t="shared" si="1"/>
        <v>66</v>
      </c>
      <c r="BR1" s="84">
        <f t="shared" si="1"/>
        <v>67</v>
      </c>
      <c r="BS1" s="84">
        <f t="shared" si="1"/>
        <v>68</v>
      </c>
      <c r="BT1" s="84">
        <f t="shared" si="1"/>
        <v>69</v>
      </c>
      <c r="BU1" s="84">
        <f t="shared" si="1"/>
        <v>70</v>
      </c>
      <c r="BV1" s="84">
        <f t="shared" si="1"/>
        <v>71</v>
      </c>
      <c r="BW1" s="84">
        <f t="shared" si="1"/>
        <v>72</v>
      </c>
      <c r="BX1" s="84">
        <f t="shared" si="1"/>
        <v>73</v>
      </c>
      <c r="BY1" s="84">
        <f t="shared" si="1"/>
        <v>74</v>
      </c>
      <c r="BZ1" s="84">
        <f t="shared" si="1"/>
        <v>75</v>
      </c>
      <c r="CA1" s="84">
        <f t="shared" si="1"/>
        <v>76</v>
      </c>
      <c r="CB1" s="84">
        <f t="shared" si="1"/>
        <v>77</v>
      </c>
      <c r="CC1" s="84">
        <f t="shared" si="1"/>
        <v>78</v>
      </c>
      <c r="CD1" s="84">
        <f t="shared" si="1"/>
        <v>79</v>
      </c>
      <c r="CE1" s="84">
        <f t="shared" si="1"/>
        <v>80</v>
      </c>
      <c r="CF1" s="84">
        <f t="shared" si="1"/>
        <v>81</v>
      </c>
      <c r="CG1" s="84">
        <f t="shared" si="1"/>
        <v>82</v>
      </c>
      <c r="CH1" s="84">
        <f t="shared" si="1"/>
        <v>83</v>
      </c>
      <c r="CI1" s="84">
        <f t="shared" si="1"/>
        <v>84</v>
      </c>
      <c r="CJ1" s="84">
        <f t="shared" si="1"/>
        <v>85</v>
      </c>
      <c r="CK1" s="84">
        <f t="shared" si="1"/>
        <v>86</v>
      </c>
      <c r="CL1" s="84">
        <f t="shared" si="1"/>
        <v>87</v>
      </c>
      <c r="CM1" s="84">
        <f t="shared" si="1"/>
        <v>88</v>
      </c>
      <c r="CN1" s="84">
        <f t="shared" si="1"/>
        <v>89</v>
      </c>
      <c r="CO1" s="84">
        <f t="shared" si="1"/>
        <v>90</v>
      </c>
      <c r="CP1" s="84">
        <f t="shared" si="1"/>
        <v>91</v>
      </c>
      <c r="CQ1" s="84">
        <f t="shared" si="1"/>
        <v>92</v>
      </c>
      <c r="CR1" s="84">
        <f t="shared" si="1"/>
        <v>93</v>
      </c>
      <c r="CS1" s="84">
        <f t="shared" si="1"/>
        <v>94</v>
      </c>
      <c r="CT1" s="84">
        <f t="shared" si="1"/>
        <v>95</v>
      </c>
      <c r="CU1" s="84">
        <f t="shared" si="1"/>
        <v>96</v>
      </c>
      <c r="CV1" s="84">
        <f t="shared" si="1"/>
        <v>97</v>
      </c>
      <c r="CW1" s="84">
        <f t="shared" si="1"/>
        <v>98</v>
      </c>
      <c r="CX1" s="84">
        <f t="shared" si="1"/>
        <v>99</v>
      </c>
      <c r="CY1" s="84">
        <f t="shared" si="1"/>
        <v>100</v>
      </c>
      <c r="CZ1" s="84">
        <f t="shared" si="1"/>
        <v>101</v>
      </c>
      <c r="DA1" s="84">
        <f t="shared" si="1"/>
        <v>102</v>
      </c>
      <c r="DB1" s="84">
        <f t="shared" si="1"/>
        <v>103</v>
      </c>
      <c r="DC1" s="84">
        <f t="shared" si="1"/>
        <v>104</v>
      </c>
      <c r="DD1" s="84">
        <f t="shared" si="1"/>
        <v>105</v>
      </c>
      <c r="DE1" s="84">
        <f t="shared" si="1"/>
        <v>106</v>
      </c>
      <c r="DF1" s="84">
        <f t="shared" si="1"/>
        <v>107</v>
      </c>
      <c r="DG1" s="84">
        <f t="shared" si="1"/>
        <v>108</v>
      </c>
      <c r="DH1" s="84">
        <f t="shared" si="1"/>
        <v>109</v>
      </c>
      <c r="DI1" s="84">
        <f t="shared" si="1"/>
        <v>110</v>
      </c>
      <c r="DJ1" s="84">
        <f t="shared" si="1"/>
        <v>111</v>
      </c>
      <c r="DK1" s="84">
        <f t="shared" si="1"/>
        <v>112</v>
      </c>
      <c r="DL1" s="84">
        <f t="shared" si="1"/>
        <v>113</v>
      </c>
      <c r="DM1" s="84">
        <f t="shared" si="1"/>
        <v>114</v>
      </c>
      <c r="DN1" s="84">
        <f t="shared" si="1"/>
        <v>115</v>
      </c>
      <c r="DO1" s="84">
        <f t="shared" si="1"/>
        <v>116</v>
      </c>
      <c r="DP1" s="84">
        <f t="shared" si="1"/>
        <v>117</v>
      </c>
      <c r="DQ1" s="84">
        <f t="shared" si="1"/>
        <v>118</v>
      </c>
      <c r="DR1" s="84">
        <f t="shared" si="1"/>
        <v>119</v>
      </c>
      <c r="DS1" s="84">
        <f t="shared" si="1"/>
        <v>120</v>
      </c>
      <c r="DT1" s="84">
        <f t="shared" si="1"/>
        <v>121</v>
      </c>
      <c r="DU1" s="84">
        <f t="shared" si="1"/>
        <v>122</v>
      </c>
      <c r="DV1" s="84">
        <f t="shared" si="1"/>
        <v>123</v>
      </c>
      <c r="DW1" s="84">
        <f t="shared" si="1"/>
        <v>124</v>
      </c>
      <c r="DX1" s="84">
        <f t="shared" si="1"/>
        <v>125</v>
      </c>
      <c r="DY1" s="84">
        <f t="shared" si="1"/>
        <v>126</v>
      </c>
      <c r="DZ1" s="84">
        <f t="shared" si="1"/>
        <v>127</v>
      </c>
      <c r="EA1" s="84">
        <f t="shared" si="1"/>
        <v>128</v>
      </c>
      <c r="EB1" s="84">
        <f t="shared" si="1"/>
        <v>129</v>
      </c>
      <c r="EC1" s="84">
        <f t="shared" si="1"/>
        <v>130</v>
      </c>
      <c r="ED1" s="84">
        <f t="shared" si="1"/>
        <v>131</v>
      </c>
      <c r="EE1" s="84">
        <f t="shared" si="1"/>
        <v>132</v>
      </c>
    </row>
    <row r="2" ht="15.75" customHeight="1">
      <c r="A2" s="84"/>
      <c r="B2" s="301" t="s">
        <v>136</v>
      </c>
      <c r="C2" s="84"/>
      <c r="D2" s="84">
        <f t="shared" ref="D2:EE2" si="2">ROUNDUP(D1/12,0)</f>
        <v>1</v>
      </c>
      <c r="E2" s="84">
        <f t="shared" si="2"/>
        <v>1</v>
      </c>
      <c r="F2" s="84">
        <f t="shared" si="2"/>
        <v>1</v>
      </c>
      <c r="G2" s="84">
        <f t="shared" si="2"/>
        <v>1</v>
      </c>
      <c r="H2" s="84">
        <f t="shared" si="2"/>
        <v>1</v>
      </c>
      <c r="I2" s="84">
        <f t="shared" si="2"/>
        <v>1</v>
      </c>
      <c r="J2" s="84">
        <f t="shared" si="2"/>
        <v>1</v>
      </c>
      <c r="K2" s="84">
        <f t="shared" si="2"/>
        <v>1</v>
      </c>
      <c r="L2" s="84">
        <f t="shared" si="2"/>
        <v>1</v>
      </c>
      <c r="M2" s="84">
        <f t="shared" si="2"/>
        <v>1</v>
      </c>
      <c r="N2" s="84">
        <f t="shared" si="2"/>
        <v>1</v>
      </c>
      <c r="O2" s="84">
        <f t="shared" si="2"/>
        <v>1</v>
      </c>
      <c r="P2" s="84">
        <f t="shared" si="2"/>
        <v>2</v>
      </c>
      <c r="Q2" s="84">
        <f t="shared" si="2"/>
        <v>2</v>
      </c>
      <c r="R2" s="84">
        <f t="shared" si="2"/>
        <v>2</v>
      </c>
      <c r="S2" s="84">
        <f t="shared" si="2"/>
        <v>2</v>
      </c>
      <c r="T2" s="84">
        <f t="shared" si="2"/>
        <v>2</v>
      </c>
      <c r="U2" s="84">
        <f t="shared" si="2"/>
        <v>2</v>
      </c>
      <c r="V2" s="84">
        <f t="shared" si="2"/>
        <v>2</v>
      </c>
      <c r="W2" s="84">
        <f t="shared" si="2"/>
        <v>2</v>
      </c>
      <c r="X2" s="84">
        <f t="shared" si="2"/>
        <v>2</v>
      </c>
      <c r="Y2" s="84">
        <f t="shared" si="2"/>
        <v>2</v>
      </c>
      <c r="Z2" s="84">
        <f t="shared" si="2"/>
        <v>2</v>
      </c>
      <c r="AA2" s="84">
        <f t="shared" si="2"/>
        <v>2</v>
      </c>
      <c r="AB2" s="84">
        <f t="shared" si="2"/>
        <v>3</v>
      </c>
      <c r="AC2" s="84">
        <f t="shared" si="2"/>
        <v>3</v>
      </c>
      <c r="AD2" s="84">
        <f t="shared" si="2"/>
        <v>3</v>
      </c>
      <c r="AE2" s="84">
        <f t="shared" si="2"/>
        <v>3</v>
      </c>
      <c r="AF2" s="84">
        <f t="shared" si="2"/>
        <v>3</v>
      </c>
      <c r="AG2" s="84">
        <f t="shared" si="2"/>
        <v>3</v>
      </c>
      <c r="AH2" s="84">
        <f t="shared" si="2"/>
        <v>3</v>
      </c>
      <c r="AI2" s="84">
        <f t="shared" si="2"/>
        <v>3</v>
      </c>
      <c r="AJ2" s="84">
        <f t="shared" si="2"/>
        <v>3</v>
      </c>
      <c r="AK2" s="84">
        <f t="shared" si="2"/>
        <v>3</v>
      </c>
      <c r="AL2" s="84">
        <f t="shared" si="2"/>
        <v>3</v>
      </c>
      <c r="AM2" s="84">
        <f t="shared" si="2"/>
        <v>3</v>
      </c>
      <c r="AN2" s="84">
        <f t="shared" si="2"/>
        <v>4</v>
      </c>
      <c r="AO2" s="84">
        <f t="shared" si="2"/>
        <v>4</v>
      </c>
      <c r="AP2" s="84">
        <f t="shared" si="2"/>
        <v>4</v>
      </c>
      <c r="AQ2" s="84">
        <f t="shared" si="2"/>
        <v>4</v>
      </c>
      <c r="AR2" s="84">
        <f t="shared" si="2"/>
        <v>4</v>
      </c>
      <c r="AS2" s="84">
        <f t="shared" si="2"/>
        <v>4</v>
      </c>
      <c r="AT2" s="84">
        <f t="shared" si="2"/>
        <v>4</v>
      </c>
      <c r="AU2" s="84">
        <f t="shared" si="2"/>
        <v>4</v>
      </c>
      <c r="AV2" s="84">
        <f t="shared" si="2"/>
        <v>4</v>
      </c>
      <c r="AW2" s="84">
        <f t="shared" si="2"/>
        <v>4</v>
      </c>
      <c r="AX2" s="84">
        <f t="shared" si="2"/>
        <v>4</v>
      </c>
      <c r="AY2" s="84">
        <f t="shared" si="2"/>
        <v>4</v>
      </c>
      <c r="AZ2" s="84">
        <f t="shared" si="2"/>
        <v>5</v>
      </c>
      <c r="BA2" s="84">
        <f t="shared" si="2"/>
        <v>5</v>
      </c>
      <c r="BB2" s="84">
        <f t="shared" si="2"/>
        <v>5</v>
      </c>
      <c r="BC2" s="84">
        <f t="shared" si="2"/>
        <v>5</v>
      </c>
      <c r="BD2" s="84">
        <f t="shared" si="2"/>
        <v>5</v>
      </c>
      <c r="BE2" s="84">
        <f t="shared" si="2"/>
        <v>5</v>
      </c>
      <c r="BF2" s="84">
        <f t="shared" si="2"/>
        <v>5</v>
      </c>
      <c r="BG2" s="84">
        <f t="shared" si="2"/>
        <v>5</v>
      </c>
      <c r="BH2" s="84">
        <f t="shared" si="2"/>
        <v>5</v>
      </c>
      <c r="BI2" s="84">
        <f t="shared" si="2"/>
        <v>5</v>
      </c>
      <c r="BJ2" s="84">
        <f t="shared" si="2"/>
        <v>5</v>
      </c>
      <c r="BK2" s="84">
        <f t="shared" si="2"/>
        <v>5</v>
      </c>
      <c r="BL2" s="84">
        <f t="shared" si="2"/>
        <v>6</v>
      </c>
      <c r="BM2" s="84">
        <f t="shared" si="2"/>
        <v>6</v>
      </c>
      <c r="BN2" s="84">
        <f t="shared" si="2"/>
        <v>6</v>
      </c>
      <c r="BO2" s="84">
        <f t="shared" si="2"/>
        <v>6</v>
      </c>
      <c r="BP2" s="84">
        <f t="shared" si="2"/>
        <v>6</v>
      </c>
      <c r="BQ2" s="84">
        <f t="shared" si="2"/>
        <v>6</v>
      </c>
      <c r="BR2" s="84">
        <f t="shared" si="2"/>
        <v>6</v>
      </c>
      <c r="BS2" s="84">
        <f t="shared" si="2"/>
        <v>6</v>
      </c>
      <c r="BT2" s="84">
        <f t="shared" si="2"/>
        <v>6</v>
      </c>
      <c r="BU2" s="84">
        <f t="shared" si="2"/>
        <v>6</v>
      </c>
      <c r="BV2" s="84">
        <f t="shared" si="2"/>
        <v>6</v>
      </c>
      <c r="BW2" s="84">
        <f t="shared" si="2"/>
        <v>6</v>
      </c>
      <c r="BX2" s="84">
        <f t="shared" si="2"/>
        <v>7</v>
      </c>
      <c r="BY2" s="84">
        <f t="shared" si="2"/>
        <v>7</v>
      </c>
      <c r="BZ2" s="84">
        <f t="shared" si="2"/>
        <v>7</v>
      </c>
      <c r="CA2" s="84">
        <f t="shared" si="2"/>
        <v>7</v>
      </c>
      <c r="CB2" s="84">
        <f t="shared" si="2"/>
        <v>7</v>
      </c>
      <c r="CC2" s="84">
        <f t="shared" si="2"/>
        <v>7</v>
      </c>
      <c r="CD2" s="84">
        <f t="shared" si="2"/>
        <v>7</v>
      </c>
      <c r="CE2" s="84">
        <f t="shared" si="2"/>
        <v>7</v>
      </c>
      <c r="CF2" s="84">
        <f t="shared" si="2"/>
        <v>7</v>
      </c>
      <c r="CG2" s="84">
        <f t="shared" si="2"/>
        <v>7</v>
      </c>
      <c r="CH2" s="84">
        <f t="shared" si="2"/>
        <v>7</v>
      </c>
      <c r="CI2" s="84">
        <f t="shared" si="2"/>
        <v>7</v>
      </c>
      <c r="CJ2" s="84">
        <f t="shared" si="2"/>
        <v>8</v>
      </c>
      <c r="CK2" s="84">
        <f t="shared" si="2"/>
        <v>8</v>
      </c>
      <c r="CL2" s="84">
        <f t="shared" si="2"/>
        <v>8</v>
      </c>
      <c r="CM2" s="84">
        <f t="shared" si="2"/>
        <v>8</v>
      </c>
      <c r="CN2" s="84">
        <f t="shared" si="2"/>
        <v>8</v>
      </c>
      <c r="CO2" s="84">
        <f t="shared" si="2"/>
        <v>8</v>
      </c>
      <c r="CP2" s="84">
        <f t="shared" si="2"/>
        <v>8</v>
      </c>
      <c r="CQ2" s="84">
        <f t="shared" si="2"/>
        <v>8</v>
      </c>
      <c r="CR2" s="84">
        <f t="shared" si="2"/>
        <v>8</v>
      </c>
      <c r="CS2" s="84">
        <f t="shared" si="2"/>
        <v>8</v>
      </c>
      <c r="CT2" s="84">
        <f t="shared" si="2"/>
        <v>8</v>
      </c>
      <c r="CU2" s="84">
        <f t="shared" si="2"/>
        <v>8</v>
      </c>
      <c r="CV2" s="84">
        <f t="shared" si="2"/>
        <v>9</v>
      </c>
      <c r="CW2" s="84">
        <f t="shared" si="2"/>
        <v>9</v>
      </c>
      <c r="CX2" s="84">
        <f t="shared" si="2"/>
        <v>9</v>
      </c>
      <c r="CY2" s="84">
        <f t="shared" si="2"/>
        <v>9</v>
      </c>
      <c r="CZ2" s="84">
        <f t="shared" si="2"/>
        <v>9</v>
      </c>
      <c r="DA2" s="84">
        <f t="shared" si="2"/>
        <v>9</v>
      </c>
      <c r="DB2" s="84">
        <f t="shared" si="2"/>
        <v>9</v>
      </c>
      <c r="DC2" s="84">
        <f t="shared" si="2"/>
        <v>9</v>
      </c>
      <c r="DD2" s="84">
        <f t="shared" si="2"/>
        <v>9</v>
      </c>
      <c r="DE2" s="84">
        <f t="shared" si="2"/>
        <v>9</v>
      </c>
      <c r="DF2" s="84">
        <f t="shared" si="2"/>
        <v>9</v>
      </c>
      <c r="DG2" s="84">
        <f t="shared" si="2"/>
        <v>9</v>
      </c>
      <c r="DH2" s="84">
        <f t="shared" si="2"/>
        <v>10</v>
      </c>
      <c r="DI2" s="84">
        <f t="shared" si="2"/>
        <v>10</v>
      </c>
      <c r="DJ2" s="84">
        <f t="shared" si="2"/>
        <v>10</v>
      </c>
      <c r="DK2" s="84">
        <f t="shared" si="2"/>
        <v>10</v>
      </c>
      <c r="DL2" s="84">
        <f t="shared" si="2"/>
        <v>10</v>
      </c>
      <c r="DM2" s="84">
        <f t="shared" si="2"/>
        <v>10</v>
      </c>
      <c r="DN2" s="84">
        <f t="shared" si="2"/>
        <v>10</v>
      </c>
      <c r="DO2" s="84">
        <f t="shared" si="2"/>
        <v>10</v>
      </c>
      <c r="DP2" s="84">
        <f t="shared" si="2"/>
        <v>10</v>
      </c>
      <c r="DQ2" s="84">
        <f t="shared" si="2"/>
        <v>10</v>
      </c>
      <c r="DR2" s="84">
        <f t="shared" si="2"/>
        <v>10</v>
      </c>
      <c r="DS2" s="84">
        <f t="shared" si="2"/>
        <v>10</v>
      </c>
      <c r="DT2" s="84">
        <f t="shared" si="2"/>
        <v>11</v>
      </c>
      <c r="DU2" s="84">
        <f t="shared" si="2"/>
        <v>11</v>
      </c>
      <c r="DV2" s="84">
        <f t="shared" si="2"/>
        <v>11</v>
      </c>
      <c r="DW2" s="84">
        <f t="shared" si="2"/>
        <v>11</v>
      </c>
      <c r="DX2" s="84">
        <f t="shared" si="2"/>
        <v>11</v>
      </c>
      <c r="DY2" s="84">
        <f t="shared" si="2"/>
        <v>11</v>
      </c>
      <c r="DZ2" s="84">
        <f t="shared" si="2"/>
        <v>11</v>
      </c>
      <c r="EA2" s="302">
        <f t="shared" si="2"/>
        <v>11</v>
      </c>
      <c r="EB2" s="84">
        <f t="shared" si="2"/>
        <v>11</v>
      </c>
      <c r="EC2" s="84">
        <f t="shared" si="2"/>
        <v>11</v>
      </c>
      <c r="ED2" s="84">
        <f t="shared" si="2"/>
        <v>11</v>
      </c>
      <c r="EE2" s="303">
        <f t="shared" si="2"/>
        <v>11</v>
      </c>
    </row>
    <row r="3" ht="15.75" customHeight="1">
      <c r="A3" s="1"/>
      <c r="B3" s="1"/>
      <c r="C3" s="1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9" t="s">
        <v>193</v>
      </c>
      <c r="C4" s="1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Assumptions!R5</f>
        <v>1x1</v>
      </c>
      <c r="D5" s="54">
        <f t="array" ref="D5">IF(D$2=1,Assumptions!$X5/12,(SUMIF($D$2:$EE$2,D$2-1,$D5:$EE5)/12)*(1+XLOOKUP(D$2,Assumptions!$C$94:$M$94,Assumptions!$C$97:$M$97)))</f>
        <v>19779.858</v>
      </c>
      <c r="E5" s="54">
        <f t="array" ref="E5">IF(E$2=1,Assumptions!$X5/12,(SUMIF($D$2:$EE$2,E$2-1,$D5:$EE5)/12)*(1+XLOOKUP(E$2,Assumptions!$C$94:$M$94,Assumptions!$C$97:$M$97)))</f>
        <v>19779.858</v>
      </c>
      <c r="F5" s="54">
        <f t="array" ref="F5">IF(F$2=1,Assumptions!$X5/12,(SUMIF($D$2:$EE$2,F$2-1,$D5:$EE5)/12)*(1+XLOOKUP(F$2,Assumptions!$C$94:$M$94,Assumptions!$C$97:$M$97)))</f>
        <v>19779.858</v>
      </c>
      <c r="G5" s="54">
        <f t="array" ref="G5">IF(G$2=1,Assumptions!$X5/12,(SUMIF($D$2:$EE$2,G$2-1,$D5:$EE5)/12)*(1+XLOOKUP(G$2,Assumptions!$C$94:$M$94,Assumptions!$C$97:$M$97)))</f>
        <v>19779.858</v>
      </c>
      <c r="H5" s="54">
        <f t="array" ref="H5">IF(H$2=1,Assumptions!$X5/12,(SUMIF($D$2:$EE$2,H$2-1,$D5:$EE5)/12)*(1+XLOOKUP(H$2,Assumptions!$C$94:$M$94,Assumptions!$C$97:$M$97)))</f>
        <v>19779.858</v>
      </c>
      <c r="I5" s="54">
        <f t="array" ref="I5">IF(I$2=1,Assumptions!$X5/12,(SUMIF($D$2:$EE$2,I$2-1,$D5:$EE5)/12)*(1+XLOOKUP(I$2,Assumptions!$C$94:$M$94,Assumptions!$C$97:$M$97)))</f>
        <v>19779.858</v>
      </c>
      <c r="J5" s="54">
        <f t="array" ref="J5">IF(J$2=1,Assumptions!$X5/12,(SUMIF($D$2:$EE$2,J$2-1,$D5:$EE5)/12)*(1+XLOOKUP(J$2,Assumptions!$C$94:$M$94,Assumptions!$C$97:$M$97)))</f>
        <v>19779.858</v>
      </c>
      <c r="K5" s="54">
        <f t="array" ref="K5">IF(K$2=1,Assumptions!$X5/12,(SUMIF($D$2:$EE$2,K$2-1,$D5:$EE5)/12)*(1+XLOOKUP(K$2,Assumptions!$C$94:$M$94,Assumptions!$C$97:$M$97)))</f>
        <v>19779.858</v>
      </c>
      <c r="L5" s="54">
        <f t="array" ref="L5">IF(L$2=1,Assumptions!$X5/12,(SUMIF($D$2:$EE$2,L$2-1,$D5:$EE5)/12)*(1+XLOOKUP(L$2,Assumptions!$C$94:$M$94,Assumptions!$C$97:$M$97)))</f>
        <v>19779.858</v>
      </c>
      <c r="M5" s="54">
        <f t="array" ref="M5">IF(M$2=1,Assumptions!$X5/12,(SUMIF($D$2:$EE$2,M$2-1,$D5:$EE5)/12)*(1+XLOOKUP(M$2,Assumptions!$C$94:$M$94,Assumptions!$C$97:$M$97)))</f>
        <v>19779.858</v>
      </c>
      <c r="N5" s="54">
        <f t="array" ref="N5">IF(N$2=1,Assumptions!$X5/12,(SUMIF($D$2:$EE$2,N$2-1,$D5:$EE5)/12)*(1+XLOOKUP(N$2,Assumptions!$C$94:$M$94,Assumptions!$C$97:$M$97)))</f>
        <v>19779.858</v>
      </c>
      <c r="O5" s="54">
        <f t="array" ref="O5">IF(O$2=1,Assumptions!$X5/12,(SUMIF($D$2:$EE$2,O$2-1,$D5:$EE5)/12)*(1+XLOOKUP(O$2,Assumptions!$C$94:$M$94,Assumptions!$C$97:$M$97)))</f>
        <v>19779.858</v>
      </c>
      <c r="P5" s="54">
        <f t="array" ref="P5">IF(P$2=1,Assumptions!$X5/12,(SUMIF($D$2:$EE$2,P$2-1,$D5:$EE5)/12)*(1+XLOOKUP(P$2,Assumptions!$C$94:$M$94,Assumptions!$C$97:$M$97)))</f>
        <v>20373.25374</v>
      </c>
      <c r="Q5" s="54">
        <f t="array" ref="Q5">IF(Q$2=1,Assumptions!$X5/12,(SUMIF($D$2:$EE$2,Q$2-1,$D5:$EE5)/12)*(1+XLOOKUP(Q$2,Assumptions!$C$94:$M$94,Assumptions!$C$97:$M$97)))</f>
        <v>20373.25374</v>
      </c>
      <c r="R5" s="54">
        <f t="array" ref="R5">IF(R$2=1,Assumptions!$X5/12,(SUMIF($D$2:$EE$2,R$2-1,$D5:$EE5)/12)*(1+XLOOKUP(R$2,Assumptions!$C$94:$M$94,Assumptions!$C$97:$M$97)))</f>
        <v>20373.25374</v>
      </c>
      <c r="S5" s="54">
        <f t="array" ref="S5">IF(S$2=1,Assumptions!$X5/12,(SUMIF($D$2:$EE$2,S$2-1,$D5:$EE5)/12)*(1+XLOOKUP(S$2,Assumptions!$C$94:$M$94,Assumptions!$C$97:$M$97)))</f>
        <v>20373.25374</v>
      </c>
      <c r="T5" s="54">
        <f t="array" ref="T5">IF(T$2=1,Assumptions!$X5/12,(SUMIF($D$2:$EE$2,T$2-1,$D5:$EE5)/12)*(1+XLOOKUP(T$2,Assumptions!$C$94:$M$94,Assumptions!$C$97:$M$97)))</f>
        <v>20373.25374</v>
      </c>
      <c r="U5" s="54">
        <f t="array" ref="U5">IF(U$2=1,Assumptions!$X5/12,(SUMIF($D$2:$EE$2,U$2-1,$D5:$EE5)/12)*(1+XLOOKUP(U$2,Assumptions!$C$94:$M$94,Assumptions!$C$97:$M$97)))</f>
        <v>20373.25374</v>
      </c>
      <c r="V5" s="54">
        <f t="array" ref="V5">IF(V$2=1,Assumptions!$X5/12,(SUMIF($D$2:$EE$2,V$2-1,$D5:$EE5)/12)*(1+XLOOKUP(V$2,Assumptions!$C$94:$M$94,Assumptions!$C$97:$M$97)))</f>
        <v>20373.25374</v>
      </c>
      <c r="W5" s="54">
        <f t="array" ref="W5">IF(W$2=1,Assumptions!$X5/12,(SUMIF($D$2:$EE$2,W$2-1,$D5:$EE5)/12)*(1+XLOOKUP(W$2,Assumptions!$C$94:$M$94,Assumptions!$C$97:$M$97)))</f>
        <v>20373.25374</v>
      </c>
      <c r="X5" s="54">
        <f t="array" ref="X5">IF(X$2=1,Assumptions!$X5/12,(SUMIF($D$2:$EE$2,X$2-1,$D5:$EE5)/12)*(1+XLOOKUP(X$2,Assumptions!$C$94:$M$94,Assumptions!$C$97:$M$97)))</f>
        <v>20373.25374</v>
      </c>
      <c r="Y5" s="54">
        <f t="array" ref="Y5">IF(Y$2=1,Assumptions!$X5/12,(SUMIF($D$2:$EE$2,Y$2-1,$D5:$EE5)/12)*(1+XLOOKUP(Y$2,Assumptions!$C$94:$M$94,Assumptions!$C$97:$M$97)))</f>
        <v>20373.25374</v>
      </c>
      <c r="Z5" s="54">
        <f t="array" ref="Z5">IF(Z$2=1,Assumptions!$X5/12,(SUMIF($D$2:$EE$2,Z$2-1,$D5:$EE5)/12)*(1+XLOOKUP(Z$2,Assumptions!$C$94:$M$94,Assumptions!$C$97:$M$97)))</f>
        <v>20373.25374</v>
      </c>
      <c r="AA5" s="54">
        <f t="array" ref="AA5">IF(AA$2=1,Assumptions!$X5/12,(SUMIF($D$2:$EE$2,AA$2-1,$D5:$EE5)/12)*(1+XLOOKUP(AA$2,Assumptions!$C$94:$M$94,Assumptions!$C$97:$M$97)))</f>
        <v>20373.25374</v>
      </c>
      <c r="AB5" s="54">
        <f t="array" ref="AB5">IF(AB$2=1,Assumptions!$X5/12,(SUMIF($D$2:$EE$2,AB$2-1,$D5:$EE5)/12)*(1+XLOOKUP(AB$2,Assumptions!$C$94:$M$94,Assumptions!$C$97:$M$97)))</f>
        <v>20984.45135</v>
      </c>
      <c r="AC5" s="54">
        <f t="array" ref="AC5">IF(AC$2=1,Assumptions!$X5/12,(SUMIF($D$2:$EE$2,AC$2-1,$D5:$EE5)/12)*(1+XLOOKUP(AC$2,Assumptions!$C$94:$M$94,Assumptions!$C$97:$M$97)))</f>
        <v>20984.45135</v>
      </c>
      <c r="AD5" s="54">
        <f t="array" ref="AD5">IF(AD$2=1,Assumptions!$X5/12,(SUMIF($D$2:$EE$2,AD$2-1,$D5:$EE5)/12)*(1+XLOOKUP(AD$2,Assumptions!$C$94:$M$94,Assumptions!$C$97:$M$97)))</f>
        <v>20984.45135</v>
      </c>
      <c r="AE5" s="54">
        <f t="array" ref="AE5">IF(AE$2=1,Assumptions!$X5/12,(SUMIF($D$2:$EE$2,AE$2-1,$D5:$EE5)/12)*(1+XLOOKUP(AE$2,Assumptions!$C$94:$M$94,Assumptions!$C$97:$M$97)))</f>
        <v>20984.45135</v>
      </c>
      <c r="AF5" s="54">
        <f t="array" ref="AF5">IF(AF$2=1,Assumptions!$X5/12,(SUMIF($D$2:$EE$2,AF$2-1,$D5:$EE5)/12)*(1+XLOOKUP(AF$2,Assumptions!$C$94:$M$94,Assumptions!$C$97:$M$97)))</f>
        <v>20984.45135</v>
      </c>
      <c r="AG5" s="54">
        <f t="array" ref="AG5">IF(AG$2=1,Assumptions!$X5/12,(SUMIF($D$2:$EE$2,AG$2-1,$D5:$EE5)/12)*(1+XLOOKUP(AG$2,Assumptions!$C$94:$M$94,Assumptions!$C$97:$M$97)))</f>
        <v>20984.45135</v>
      </c>
      <c r="AH5" s="54">
        <f t="array" ref="AH5">IF(AH$2=1,Assumptions!$X5/12,(SUMIF($D$2:$EE$2,AH$2-1,$D5:$EE5)/12)*(1+XLOOKUP(AH$2,Assumptions!$C$94:$M$94,Assumptions!$C$97:$M$97)))</f>
        <v>20984.45135</v>
      </c>
      <c r="AI5" s="54">
        <f t="array" ref="AI5">IF(AI$2=1,Assumptions!$X5/12,(SUMIF($D$2:$EE$2,AI$2-1,$D5:$EE5)/12)*(1+XLOOKUP(AI$2,Assumptions!$C$94:$M$94,Assumptions!$C$97:$M$97)))</f>
        <v>20984.45135</v>
      </c>
      <c r="AJ5" s="54">
        <f t="array" ref="AJ5">IF(AJ$2=1,Assumptions!$X5/12,(SUMIF($D$2:$EE$2,AJ$2-1,$D5:$EE5)/12)*(1+XLOOKUP(AJ$2,Assumptions!$C$94:$M$94,Assumptions!$C$97:$M$97)))</f>
        <v>20984.45135</v>
      </c>
      <c r="AK5" s="54">
        <f t="array" ref="AK5">IF(AK$2=1,Assumptions!$X5/12,(SUMIF($D$2:$EE$2,AK$2-1,$D5:$EE5)/12)*(1+XLOOKUP(AK$2,Assumptions!$C$94:$M$94,Assumptions!$C$97:$M$97)))</f>
        <v>20984.45135</v>
      </c>
      <c r="AL5" s="54">
        <f t="array" ref="AL5">IF(AL$2=1,Assumptions!$X5/12,(SUMIF($D$2:$EE$2,AL$2-1,$D5:$EE5)/12)*(1+XLOOKUP(AL$2,Assumptions!$C$94:$M$94,Assumptions!$C$97:$M$97)))</f>
        <v>20984.45135</v>
      </c>
      <c r="AM5" s="54">
        <f t="array" ref="AM5">IF(AM$2=1,Assumptions!$X5/12,(SUMIF($D$2:$EE$2,AM$2-1,$D5:$EE5)/12)*(1+XLOOKUP(AM$2,Assumptions!$C$94:$M$94,Assumptions!$C$97:$M$97)))</f>
        <v>20984.45135</v>
      </c>
      <c r="AN5" s="54">
        <f t="array" ref="AN5">IF(AN$2=1,Assumptions!$X5/12,(SUMIF($D$2:$EE$2,AN$2-1,$D5:$EE5)/12)*(1+XLOOKUP(AN$2,Assumptions!$C$94:$M$94,Assumptions!$C$97:$M$97)))</f>
        <v>21613.98489</v>
      </c>
      <c r="AO5" s="54">
        <f t="array" ref="AO5">IF(AO$2=1,Assumptions!$X5/12,(SUMIF($D$2:$EE$2,AO$2-1,$D5:$EE5)/12)*(1+XLOOKUP(AO$2,Assumptions!$C$94:$M$94,Assumptions!$C$97:$M$97)))</f>
        <v>21613.98489</v>
      </c>
      <c r="AP5" s="54">
        <f t="array" ref="AP5">IF(AP$2=1,Assumptions!$X5/12,(SUMIF($D$2:$EE$2,AP$2-1,$D5:$EE5)/12)*(1+XLOOKUP(AP$2,Assumptions!$C$94:$M$94,Assumptions!$C$97:$M$97)))</f>
        <v>21613.98489</v>
      </c>
      <c r="AQ5" s="54">
        <f t="array" ref="AQ5">IF(AQ$2=1,Assumptions!$X5/12,(SUMIF($D$2:$EE$2,AQ$2-1,$D5:$EE5)/12)*(1+XLOOKUP(AQ$2,Assumptions!$C$94:$M$94,Assumptions!$C$97:$M$97)))</f>
        <v>21613.98489</v>
      </c>
      <c r="AR5" s="54">
        <f t="array" ref="AR5">IF(AR$2=1,Assumptions!$X5/12,(SUMIF($D$2:$EE$2,AR$2-1,$D5:$EE5)/12)*(1+XLOOKUP(AR$2,Assumptions!$C$94:$M$94,Assumptions!$C$97:$M$97)))</f>
        <v>21613.98489</v>
      </c>
      <c r="AS5" s="54">
        <f t="array" ref="AS5">IF(AS$2=1,Assumptions!$X5/12,(SUMIF($D$2:$EE$2,AS$2-1,$D5:$EE5)/12)*(1+XLOOKUP(AS$2,Assumptions!$C$94:$M$94,Assumptions!$C$97:$M$97)))</f>
        <v>21613.98489</v>
      </c>
      <c r="AT5" s="54">
        <f t="array" ref="AT5">IF(AT$2=1,Assumptions!$X5/12,(SUMIF($D$2:$EE$2,AT$2-1,$D5:$EE5)/12)*(1+XLOOKUP(AT$2,Assumptions!$C$94:$M$94,Assumptions!$C$97:$M$97)))</f>
        <v>21613.98489</v>
      </c>
      <c r="AU5" s="54">
        <f t="array" ref="AU5">IF(AU$2=1,Assumptions!$X5/12,(SUMIF($D$2:$EE$2,AU$2-1,$D5:$EE5)/12)*(1+XLOOKUP(AU$2,Assumptions!$C$94:$M$94,Assumptions!$C$97:$M$97)))</f>
        <v>21613.98489</v>
      </c>
      <c r="AV5" s="54">
        <f t="array" ref="AV5">IF(AV$2=1,Assumptions!$X5/12,(SUMIF($D$2:$EE$2,AV$2-1,$D5:$EE5)/12)*(1+XLOOKUP(AV$2,Assumptions!$C$94:$M$94,Assumptions!$C$97:$M$97)))</f>
        <v>21613.98489</v>
      </c>
      <c r="AW5" s="54">
        <f t="array" ref="AW5">IF(AW$2=1,Assumptions!$X5/12,(SUMIF($D$2:$EE$2,AW$2-1,$D5:$EE5)/12)*(1+XLOOKUP(AW$2,Assumptions!$C$94:$M$94,Assumptions!$C$97:$M$97)))</f>
        <v>21613.98489</v>
      </c>
      <c r="AX5" s="54">
        <f t="array" ref="AX5">IF(AX$2=1,Assumptions!$X5/12,(SUMIF($D$2:$EE$2,AX$2-1,$D5:$EE5)/12)*(1+XLOOKUP(AX$2,Assumptions!$C$94:$M$94,Assumptions!$C$97:$M$97)))</f>
        <v>21613.98489</v>
      </c>
      <c r="AY5" s="54">
        <f t="array" ref="AY5">IF(AY$2=1,Assumptions!$X5/12,(SUMIF($D$2:$EE$2,AY$2-1,$D5:$EE5)/12)*(1+XLOOKUP(AY$2,Assumptions!$C$94:$M$94,Assumptions!$C$97:$M$97)))</f>
        <v>21613.98489</v>
      </c>
      <c r="AZ5" s="54">
        <f t="array" ref="AZ5">IF(AZ$2=1,Assumptions!$X5/12,(SUMIF($D$2:$EE$2,AZ$2-1,$D5:$EE5)/12)*(1+XLOOKUP(AZ$2,Assumptions!$C$94:$M$94,Assumptions!$C$97:$M$97)))</f>
        <v>22262.40444</v>
      </c>
      <c r="BA5" s="54">
        <f t="array" ref="BA5">IF(BA$2=1,Assumptions!$X5/12,(SUMIF($D$2:$EE$2,BA$2-1,$D5:$EE5)/12)*(1+XLOOKUP(BA$2,Assumptions!$C$94:$M$94,Assumptions!$C$97:$M$97)))</f>
        <v>22262.40444</v>
      </c>
      <c r="BB5" s="54">
        <f t="array" ref="BB5">IF(BB$2=1,Assumptions!$X5/12,(SUMIF($D$2:$EE$2,BB$2-1,$D5:$EE5)/12)*(1+XLOOKUP(BB$2,Assumptions!$C$94:$M$94,Assumptions!$C$97:$M$97)))</f>
        <v>22262.40444</v>
      </c>
      <c r="BC5" s="54">
        <f t="array" ref="BC5">IF(BC$2=1,Assumptions!$X5/12,(SUMIF($D$2:$EE$2,BC$2-1,$D5:$EE5)/12)*(1+XLOOKUP(BC$2,Assumptions!$C$94:$M$94,Assumptions!$C$97:$M$97)))</f>
        <v>22262.40444</v>
      </c>
      <c r="BD5" s="54">
        <f t="array" ref="BD5">IF(BD$2=1,Assumptions!$X5/12,(SUMIF($D$2:$EE$2,BD$2-1,$D5:$EE5)/12)*(1+XLOOKUP(BD$2,Assumptions!$C$94:$M$94,Assumptions!$C$97:$M$97)))</f>
        <v>22262.40444</v>
      </c>
      <c r="BE5" s="54">
        <f t="array" ref="BE5">IF(BE$2=1,Assumptions!$X5/12,(SUMIF($D$2:$EE$2,BE$2-1,$D5:$EE5)/12)*(1+XLOOKUP(BE$2,Assumptions!$C$94:$M$94,Assumptions!$C$97:$M$97)))</f>
        <v>22262.40444</v>
      </c>
      <c r="BF5" s="54">
        <f t="array" ref="BF5">IF(BF$2=1,Assumptions!$X5/12,(SUMIF($D$2:$EE$2,BF$2-1,$D5:$EE5)/12)*(1+XLOOKUP(BF$2,Assumptions!$C$94:$M$94,Assumptions!$C$97:$M$97)))</f>
        <v>22262.40444</v>
      </c>
      <c r="BG5" s="54">
        <f t="array" ref="BG5">IF(BG$2=1,Assumptions!$X5/12,(SUMIF($D$2:$EE$2,BG$2-1,$D5:$EE5)/12)*(1+XLOOKUP(BG$2,Assumptions!$C$94:$M$94,Assumptions!$C$97:$M$97)))</f>
        <v>22262.40444</v>
      </c>
      <c r="BH5" s="54">
        <f t="array" ref="BH5">IF(BH$2=1,Assumptions!$X5/12,(SUMIF($D$2:$EE$2,BH$2-1,$D5:$EE5)/12)*(1+XLOOKUP(BH$2,Assumptions!$C$94:$M$94,Assumptions!$C$97:$M$97)))</f>
        <v>22262.40444</v>
      </c>
      <c r="BI5" s="54">
        <f t="array" ref="BI5">IF(BI$2=1,Assumptions!$X5/12,(SUMIF($D$2:$EE$2,BI$2-1,$D5:$EE5)/12)*(1+XLOOKUP(BI$2,Assumptions!$C$94:$M$94,Assumptions!$C$97:$M$97)))</f>
        <v>22262.40444</v>
      </c>
      <c r="BJ5" s="54">
        <f t="array" ref="BJ5">IF(BJ$2=1,Assumptions!$X5/12,(SUMIF($D$2:$EE$2,BJ$2-1,$D5:$EE5)/12)*(1+XLOOKUP(BJ$2,Assumptions!$C$94:$M$94,Assumptions!$C$97:$M$97)))</f>
        <v>22262.40444</v>
      </c>
      <c r="BK5" s="54">
        <f t="array" ref="BK5">IF(BK$2=1,Assumptions!$X5/12,(SUMIF($D$2:$EE$2,BK$2-1,$D5:$EE5)/12)*(1+XLOOKUP(BK$2,Assumptions!$C$94:$M$94,Assumptions!$C$97:$M$97)))</f>
        <v>22262.40444</v>
      </c>
      <c r="BL5" s="54">
        <f t="array" ref="BL5">IF(BL$2=1,Assumptions!$X5/12,(SUMIF($D$2:$EE$2,BL$2-1,$D5:$EE5)/12)*(1+XLOOKUP(BL$2,Assumptions!$C$94:$M$94,Assumptions!$C$97:$M$97)))</f>
        <v>22930.27657</v>
      </c>
      <c r="BM5" s="54">
        <f t="array" ref="BM5">IF(BM$2=1,Assumptions!$X5/12,(SUMIF($D$2:$EE$2,BM$2-1,$D5:$EE5)/12)*(1+XLOOKUP(BM$2,Assumptions!$C$94:$M$94,Assumptions!$C$97:$M$97)))</f>
        <v>22930.27657</v>
      </c>
      <c r="BN5" s="54">
        <f t="array" ref="BN5">IF(BN$2=1,Assumptions!$X5/12,(SUMIF($D$2:$EE$2,BN$2-1,$D5:$EE5)/12)*(1+XLOOKUP(BN$2,Assumptions!$C$94:$M$94,Assumptions!$C$97:$M$97)))</f>
        <v>22930.27657</v>
      </c>
      <c r="BO5" s="54">
        <f t="array" ref="BO5">IF(BO$2=1,Assumptions!$X5/12,(SUMIF($D$2:$EE$2,BO$2-1,$D5:$EE5)/12)*(1+XLOOKUP(BO$2,Assumptions!$C$94:$M$94,Assumptions!$C$97:$M$97)))</f>
        <v>22930.27657</v>
      </c>
      <c r="BP5" s="54">
        <f t="array" ref="BP5">IF(BP$2=1,Assumptions!$X5/12,(SUMIF($D$2:$EE$2,BP$2-1,$D5:$EE5)/12)*(1+XLOOKUP(BP$2,Assumptions!$C$94:$M$94,Assumptions!$C$97:$M$97)))</f>
        <v>22930.27657</v>
      </c>
      <c r="BQ5" s="54">
        <f t="array" ref="BQ5">IF(BQ$2=1,Assumptions!$X5/12,(SUMIF($D$2:$EE$2,BQ$2-1,$D5:$EE5)/12)*(1+XLOOKUP(BQ$2,Assumptions!$C$94:$M$94,Assumptions!$C$97:$M$97)))</f>
        <v>22930.27657</v>
      </c>
      <c r="BR5" s="54">
        <f t="array" ref="BR5">IF(BR$2=1,Assumptions!$X5/12,(SUMIF($D$2:$EE$2,BR$2-1,$D5:$EE5)/12)*(1+XLOOKUP(BR$2,Assumptions!$C$94:$M$94,Assumptions!$C$97:$M$97)))</f>
        <v>22930.27657</v>
      </c>
      <c r="BS5" s="54">
        <f t="array" ref="BS5">IF(BS$2=1,Assumptions!$X5/12,(SUMIF($D$2:$EE$2,BS$2-1,$D5:$EE5)/12)*(1+XLOOKUP(BS$2,Assumptions!$C$94:$M$94,Assumptions!$C$97:$M$97)))</f>
        <v>22930.27657</v>
      </c>
      <c r="BT5" s="54">
        <f t="array" ref="BT5">IF(BT$2=1,Assumptions!$X5/12,(SUMIF($D$2:$EE$2,BT$2-1,$D5:$EE5)/12)*(1+XLOOKUP(BT$2,Assumptions!$C$94:$M$94,Assumptions!$C$97:$M$97)))</f>
        <v>22930.27657</v>
      </c>
      <c r="BU5" s="54">
        <f t="array" ref="BU5">IF(BU$2=1,Assumptions!$X5/12,(SUMIF($D$2:$EE$2,BU$2-1,$D5:$EE5)/12)*(1+XLOOKUP(BU$2,Assumptions!$C$94:$M$94,Assumptions!$C$97:$M$97)))</f>
        <v>22930.27657</v>
      </c>
      <c r="BV5" s="54">
        <f t="array" ref="BV5">IF(BV$2=1,Assumptions!$X5/12,(SUMIF($D$2:$EE$2,BV$2-1,$D5:$EE5)/12)*(1+XLOOKUP(BV$2,Assumptions!$C$94:$M$94,Assumptions!$C$97:$M$97)))</f>
        <v>22930.27657</v>
      </c>
      <c r="BW5" s="54">
        <f t="array" ref="BW5">IF(BW$2=1,Assumptions!$X5/12,(SUMIF($D$2:$EE$2,BW$2-1,$D5:$EE5)/12)*(1+XLOOKUP(BW$2,Assumptions!$C$94:$M$94,Assumptions!$C$97:$M$97)))</f>
        <v>22930.27657</v>
      </c>
      <c r="BX5" s="54">
        <f t="array" ref="BX5">IF(BX$2=1,Assumptions!$X5/12,(SUMIF($D$2:$EE$2,BX$2-1,$D5:$EE5)/12)*(1+XLOOKUP(BX$2,Assumptions!$C$94:$M$94,Assumptions!$C$97:$M$97)))</f>
        <v>23618.18487</v>
      </c>
      <c r="BY5" s="54">
        <f t="array" ref="BY5">IF(BY$2=1,Assumptions!$X5/12,(SUMIF($D$2:$EE$2,BY$2-1,$D5:$EE5)/12)*(1+XLOOKUP(BY$2,Assumptions!$C$94:$M$94,Assumptions!$C$97:$M$97)))</f>
        <v>23618.18487</v>
      </c>
      <c r="BZ5" s="54">
        <f t="array" ref="BZ5">IF(BZ$2=1,Assumptions!$X5/12,(SUMIF($D$2:$EE$2,BZ$2-1,$D5:$EE5)/12)*(1+XLOOKUP(BZ$2,Assumptions!$C$94:$M$94,Assumptions!$C$97:$M$97)))</f>
        <v>23618.18487</v>
      </c>
      <c r="CA5" s="54">
        <f t="array" ref="CA5">IF(CA$2=1,Assumptions!$X5/12,(SUMIF($D$2:$EE$2,CA$2-1,$D5:$EE5)/12)*(1+XLOOKUP(CA$2,Assumptions!$C$94:$M$94,Assumptions!$C$97:$M$97)))</f>
        <v>23618.18487</v>
      </c>
      <c r="CB5" s="54">
        <f t="array" ref="CB5">IF(CB$2=1,Assumptions!$X5/12,(SUMIF($D$2:$EE$2,CB$2-1,$D5:$EE5)/12)*(1+XLOOKUP(CB$2,Assumptions!$C$94:$M$94,Assumptions!$C$97:$M$97)))</f>
        <v>23618.18487</v>
      </c>
      <c r="CC5" s="54">
        <f t="array" ref="CC5">IF(CC$2=1,Assumptions!$X5/12,(SUMIF($D$2:$EE$2,CC$2-1,$D5:$EE5)/12)*(1+XLOOKUP(CC$2,Assumptions!$C$94:$M$94,Assumptions!$C$97:$M$97)))</f>
        <v>23618.18487</v>
      </c>
      <c r="CD5" s="54">
        <f t="array" ref="CD5">IF(CD$2=1,Assumptions!$X5/12,(SUMIF($D$2:$EE$2,CD$2-1,$D5:$EE5)/12)*(1+XLOOKUP(CD$2,Assumptions!$C$94:$M$94,Assumptions!$C$97:$M$97)))</f>
        <v>23618.18487</v>
      </c>
      <c r="CE5" s="54">
        <f t="array" ref="CE5">IF(CE$2=1,Assumptions!$X5/12,(SUMIF($D$2:$EE$2,CE$2-1,$D5:$EE5)/12)*(1+XLOOKUP(CE$2,Assumptions!$C$94:$M$94,Assumptions!$C$97:$M$97)))</f>
        <v>23618.18487</v>
      </c>
      <c r="CF5" s="54">
        <f t="array" ref="CF5">IF(CF$2=1,Assumptions!$X5/12,(SUMIF($D$2:$EE$2,CF$2-1,$D5:$EE5)/12)*(1+XLOOKUP(CF$2,Assumptions!$C$94:$M$94,Assumptions!$C$97:$M$97)))</f>
        <v>23618.18487</v>
      </c>
      <c r="CG5" s="54">
        <f t="array" ref="CG5">IF(CG$2=1,Assumptions!$X5/12,(SUMIF($D$2:$EE$2,CG$2-1,$D5:$EE5)/12)*(1+XLOOKUP(CG$2,Assumptions!$C$94:$M$94,Assumptions!$C$97:$M$97)))</f>
        <v>23618.18487</v>
      </c>
      <c r="CH5" s="54">
        <f t="array" ref="CH5">IF(CH$2=1,Assumptions!$X5/12,(SUMIF($D$2:$EE$2,CH$2-1,$D5:$EE5)/12)*(1+XLOOKUP(CH$2,Assumptions!$C$94:$M$94,Assumptions!$C$97:$M$97)))</f>
        <v>23618.18487</v>
      </c>
      <c r="CI5" s="54">
        <f t="array" ref="CI5">IF(CI$2=1,Assumptions!$X5/12,(SUMIF($D$2:$EE$2,CI$2-1,$D5:$EE5)/12)*(1+XLOOKUP(CI$2,Assumptions!$C$94:$M$94,Assumptions!$C$97:$M$97)))</f>
        <v>23618.18487</v>
      </c>
      <c r="CJ5" s="54">
        <f t="array" ref="CJ5">IF(CJ$2=1,Assumptions!$X5/12,(SUMIF($D$2:$EE$2,CJ$2-1,$D5:$EE5)/12)*(1+XLOOKUP(CJ$2,Assumptions!$C$94:$M$94,Assumptions!$C$97:$M$97)))</f>
        <v>24326.73042</v>
      </c>
      <c r="CK5" s="54">
        <f t="array" ref="CK5">IF(CK$2=1,Assumptions!$X5/12,(SUMIF($D$2:$EE$2,CK$2-1,$D5:$EE5)/12)*(1+XLOOKUP(CK$2,Assumptions!$C$94:$M$94,Assumptions!$C$97:$M$97)))</f>
        <v>24326.73042</v>
      </c>
      <c r="CL5" s="54">
        <f t="array" ref="CL5">IF(CL$2=1,Assumptions!$X5/12,(SUMIF($D$2:$EE$2,CL$2-1,$D5:$EE5)/12)*(1+XLOOKUP(CL$2,Assumptions!$C$94:$M$94,Assumptions!$C$97:$M$97)))</f>
        <v>24326.73042</v>
      </c>
      <c r="CM5" s="54">
        <f t="array" ref="CM5">IF(CM$2=1,Assumptions!$X5/12,(SUMIF($D$2:$EE$2,CM$2-1,$D5:$EE5)/12)*(1+XLOOKUP(CM$2,Assumptions!$C$94:$M$94,Assumptions!$C$97:$M$97)))</f>
        <v>24326.73042</v>
      </c>
      <c r="CN5" s="54">
        <f t="array" ref="CN5">IF(CN$2=1,Assumptions!$X5/12,(SUMIF($D$2:$EE$2,CN$2-1,$D5:$EE5)/12)*(1+XLOOKUP(CN$2,Assumptions!$C$94:$M$94,Assumptions!$C$97:$M$97)))</f>
        <v>24326.73042</v>
      </c>
      <c r="CO5" s="54">
        <f t="array" ref="CO5">IF(CO$2=1,Assumptions!$X5/12,(SUMIF($D$2:$EE$2,CO$2-1,$D5:$EE5)/12)*(1+XLOOKUP(CO$2,Assumptions!$C$94:$M$94,Assumptions!$C$97:$M$97)))</f>
        <v>24326.73042</v>
      </c>
      <c r="CP5" s="54">
        <f t="array" ref="CP5">IF(CP$2=1,Assumptions!$X5/12,(SUMIF($D$2:$EE$2,CP$2-1,$D5:$EE5)/12)*(1+XLOOKUP(CP$2,Assumptions!$C$94:$M$94,Assumptions!$C$97:$M$97)))</f>
        <v>24326.73042</v>
      </c>
      <c r="CQ5" s="54">
        <f t="array" ref="CQ5">IF(CQ$2=1,Assumptions!$X5/12,(SUMIF($D$2:$EE$2,CQ$2-1,$D5:$EE5)/12)*(1+XLOOKUP(CQ$2,Assumptions!$C$94:$M$94,Assumptions!$C$97:$M$97)))</f>
        <v>24326.73042</v>
      </c>
      <c r="CR5" s="54">
        <f t="array" ref="CR5">IF(CR$2=1,Assumptions!$X5/12,(SUMIF($D$2:$EE$2,CR$2-1,$D5:$EE5)/12)*(1+XLOOKUP(CR$2,Assumptions!$C$94:$M$94,Assumptions!$C$97:$M$97)))</f>
        <v>24326.73042</v>
      </c>
      <c r="CS5" s="54">
        <f t="array" ref="CS5">IF(CS$2=1,Assumptions!$X5/12,(SUMIF($D$2:$EE$2,CS$2-1,$D5:$EE5)/12)*(1+XLOOKUP(CS$2,Assumptions!$C$94:$M$94,Assumptions!$C$97:$M$97)))</f>
        <v>24326.73042</v>
      </c>
      <c r="CT5" s="54">
        <f t="array" ref="CT5">IF(CT$2=1,Assumptions!$X5/12,(SUMIF($D$2:$EE$2,CT$2-1,$D5:$EE5)/12)*(1+XLOOKUP(CT$2,Assumptions!$C$94:$M$94,Assumptions!$C$97:$M$97)))</f>
        <v>24326.73042</v>
      </c>
      <c r="CU5" s="54">
        <f t="array" ref="CU5">IF(CU$2=1,Assumptions!$X5/12,(SUMIF($D$2:$EE$2,CU$2-1,$D5:$EE5)/12)*(1+XLOOKUP(CU$2,Assumptions!$C$94:$M$94,Assumptions!$C$97:$M$97)))</f>
        <v>24326.73042</v>
      </c>
      <c r="CV5" s="54">
        <f t="array" ref="CV5">IF(CV$2=1,Assumptions!$X5/12,(SUMIF($D$2:$EE$2,CV$2-1,$D5:$EE5)/12)*(1+XLOOKUP(CV$2,Assumptions!$C$94:$M$94,Assumptions!$C$97:$M$97)))</f>
        <v>25056.53233</v>
      </c>
      <c r="CW5" s="54">
        <f t="array" ref="CW5">IF(CW$2=1,Assumptions!$X5/12,(SUMIF($D$2:$EE$2,CW$2-1,$D5:$EE5)/12)*(1+XLOOKUP(CW$2,Assumptions!$C$94:$M$94,Assumptions!$C$97:$M$97)))</f>
        <v>25056.53233</v>
      </c>
      <c r="CX5" s="54">
        <f t="array" ref="CX5">IF(CX$2=1,Assumptions!$X5/12,(SUMIF($D$2:$EE$2,CX$2-1,$D5:$EE5)/12)*(1+XLOOKUP(CX$2,Assumptions!$C$94:$M$94,Assumptions!$C$97:$M$97)))</f>
        <v>25056.53233</v>
      </c>
      <c r="CY5" s="54">
        <f t="array" ref="CY5">IF(CY$2=1,Assumptions!$X5/12,(SUMIF($D$2:$EE$2,CY$2-1,$D5:$EE5)/12)*(1+XLOOKUP(CY$2,Assumptions!$C$94:$M$94,Assumptions!$C$97:$M$97)))</f>
        <v>25056.53233</v>
      </c>
      <c r="CZ5" s="54">
        <f t="array" ref="CZ5">IF(CZ$2=1,Assumptions!$X5/12,(SUMIF($D$2:$EE$2,CZ$2-1,$D5:$EE5)/12)*(1+XLOOKUP(CZ$2,Assumptions!$C$94:$M$94,Assumptions!$C$97:$M$97)))</f>
        <v>25056.53233</v>
      </c>
      <c r="DA5" s="54">
        <f t="array" ref="DA5">IF(DA$2=1,Assumptions!$X5/12,(SUMIF($D$2:$EE$2,DA$2-1,$D5:$EE5)/12)*(1+XLOOKUP(DA$2,Assumptions!$C$94:$M$94,Assumptions!$C$97:$M$97)))</f>
        <v>25056.53233</v>
      </c>
      <c r="DB5" s="54">
        <f t="array" ref="DB5">IF(DB$2=1,Assumptions!$X5/12,(SUMIF($D$2:$EE$2,DB$2-1,$D5:$EE5)/12)*(1+XLOOKUP(DB$2,Assumptions!$C$94:$M$94,Assumptions!$C$97:$M$97)))</f>
        <v>25056.53233</v>
      </c>
      <c r="DC5" s="54">
        <f t="array" ref="DC5">IF(DC$2=1,Assumptions!$X5/12,(SUMIF($D$2:$EE$2,DC$2-1,$D5:$EE5)/12)*(1+XLOOKUP(DC$2,Assumptions!$C$94:$M$94,Assumptions!$C$97:$M$97)))</f>
        <v>25056.53233</v>
      </c>
      <c r="DD5" s="54">
        <f t="array" ref="DD5">IF(DD$2=1,Assumptions!$X5/12,(SUMIF($D$2:$EE$2,DD$2-1,$D5:$EE5)/12)*(1+XLOOKUP(DD$2,Assumptions!$C$94:$M$94,Assumptions!$C$97:$M$97)))</f>
        <v>25056.53233</v>
      </c>
      <c r="DE5" s="54">
        <f t="array" ref="DE5">IF(DE$2=1,Assumptions!$X5/12,(SUMIF($D$2:$EE$2,DE$2-1,$D5:$EE5)/12)*(1+XLOOKUP(DE$2,Assumptions!$C$94:$M$94,Assumptions!$C$97:$M$97)))</f>
        <v>25056.53233</v>
      </c>
      <c r="DF5" s="54">
        <f t="array" ref="DF5">IF(DF$2=1,Assumptions!$X5/12,(SUMIF($D$2:$EE$2,DF$2-1,$D5:$EE5)/12)*(1+XLOOKUP(DF$2,Assumptions!$C$94:$M$94,Assumptions!$C$97:$M$97)))</f>
        <v>25056.53233</v>
      </c>
      <c r="DG5" s="54">
        <f t="array" ref="DG5">IF(DG$2=1,Assumptions!$X5/12,(SUMIF($D$2:$EE$2,DG$2-1,$D5:$EE5)/12)*(1+XLOOKUP(DG$2,Assumptions!$C$94:$M$94,Assumptions!$C$97:$M$97)))</f>
        <v>25056.53233</v>
      </c>
      <c r="DH5" s="54">
        <f t="array" ref="DH5">IF(DH$2=1,Assumptions!$X5/12,(SUMIF($D$2:$EE$2,DH$2-1,$D5:$EE5)/12)*(1+XLOOKUP(DH$2,Assumptions!$C$94:$M$94,Assumptions!$C$97:$M$97)))</f>
        <v>25808.2283</v>
      </c>
      <c r="DI5" s="54">
        <f t="array" ref="DI5">IF(DI$2=1,Assumptions!$X5/12,(SUMIF($D$2:$EE$2,DI$2-1,$D5:$EE5)/12)*(1+XLOOKUP(DI$2,Assumptions!$C$94:$M$94,Assumptions!$C$97:$M$97)))</f>
        <v>25808.2283</v>
      </c>
      <c r="DJ5" s="54">
        <f t="array" ref="DJ5">IF(DJ$2=1,Assumptions!$X5/12,(SUMIF($D$2:$EE$2,DJ$2-1,$D5:$EE5)/12)*(1+XLOOKUP(DJ$2,Assumptions!$C$94:$M$94,Assumptions!$C$97:$M$97)))</f>
        <v>25808.2283</v>
      </c>
      <c r="DK5" s="54">
        <f t="array" ref="DK5">IF(DK$2=1,Assumptions!$X5/12,(SUMIF($D$2:$EE$2,DK$2-1,$D5:$EE5)/12)*(1+XLOOKUP(DK$2,Assumptions!$C$94:$M$94,Assumptions!$C$97:$M$97)))</f>
        <v>25808.2283</v>
      </c>
      <c r="DL5" s="54">
        <f t="array" ref="DL5">IF(DL$2=1,Assumptions!$X5/12,(SUMIF($D$2:$EE$2,DL$2-1,$D5:$EE5)/12)*(1+XLOOKUP(DL$2,Assumptions!$C$94:$M$94,Assumptions!$C$97:$M$97)))</f>
        <v>25808.2283</v>
      </c>
      <c r="DM5" s="54">
        <f t="array" ref="DM5">IF(DM$2=1,Assumptions!$X5/12,(SUMIF($D$2:$EE$2,DM$2-1,$D5:$EE5)/12)*(1+XLOOKUP(DM$2,Assumptions!$C$94:$M$94,Assumptions!$C$97:$M$97)))</f>
        <v>25808.2283</v>
      </c>
      <c r="DN5" s="54">
        <f t="array" ref="DN5">IF(DN$2=1,Assumptions!$X5/12,(SUMIF($D$2:$EE$2,DN$2-1,$D5:$EE5)/12)*(1+XLOOKUP(DN$2,Assumptions!$C$94:$M$94,Assumptions!$C$97:$M$97)))</f>
        <v>25808.2283</v>
      </c>
      <c r="DO5" s="54">
        <f t="array" ref="DO5">IF(DO$2=1,Assumptions!$X5/12,(SUMIF($D$2:$EE$2,DO$2-1,$D5:$EE5)/12)*(1+XLOOKUP(DO$2,Assumptions!$C$94:$M$94,Assumptions!$C$97:$M$97)))</f>
        <v>25808.2283</v>
      </c>
      <c r="DP5" s="54">
        <f t="array" ref="DP5">IF(DP$2=1,Assumptions!$X5/12,(SUMIF($D$2:$EE$2,DP$2-1,$D5:$EE5)/12)*(1+XLOOKUP(DP$2,Assumptions!$C$94:$M$94,Assumptions!$C$97:$M$97)))</f>
        <v>25808.2283</v>
      </c>
      <c r="DQ5" s="54">
        <f t="array" ref="DQ5">IF(DQ$2=1,Assumptions!$X5/12,(SUMIF($D$2:$EE$2,DQ$2-1,$D5:$EE5)/12)*(1+XLOOKUP(DQ$2,Assumptions!$C$94:$M$94,Assumptions!$C$97:$M$97)))</f>
        <v>25808.2283</v>
      </c>
      <c r="DR5" s="54">
        <f t="array" ref="DR5">IF(DR$2=1,Assumptions!$X5/12,(SUMIF($D$2:$EE$2,DR$2-1,$D5:$EE5)/12)*(1+XLOOKUP(DR$2,Assumptions!$C$94:$M$94,Assumptions!$C$97:$M$97)))</f>
        <v>25808.2283</v>
      </c>
      <c r="DS5" s="54">
        <f t="array" ref="DS5">IF(DS$2=1,Assumptions!$X5/12,(SUMIF($D$2:$EE$2,DS$2-1,$D5:$EE5)/12)*(1+XLOOKUP(DS$2,Assumptions!$C$94:$M$94,Assumptions!$C$97:$M$97)))</f>
        <v>25808.2283</v>
      </c>
      <c r="DT5" s="54">
        <f t="array" ref="DT5">IF(DT$2=1,Assumptions!$X5/12,(SUMIF($D$2:$EE$2,DT$2-1,$D5:$EE5)/12)*(1+XLOOKUP(DT$2,Assumptions!$C$94:$M$94,Assumptions!$C$97:$M$97)))</f>
        <v>26582.47515</v>
      </c>
      <c r="DU5" s="54">
        <f t="array" ref="DU5">IF(DU$2=1,Assumptions!$X5/12,(SUMIF($D$2:$EE$2,DU$2-1,$D5:$EE5)/12)*(1+XLOOKUP(DU$2,Assumptions!$C$94:$M$94,Assumptions!$C$97:$M$97)))</f>
        <v>26582.47515</v>
      </c>
      <c r="DV5" s="54">
        <f t="array" ref="DV5">IF(DV$2=1,Assumptions!$X5/12,(SUMIF($D$2:$EE$2,DV$2-1,$D5:$EE5)/12)*(1+XLOOKUP(DV$2,Assumptions!$C$94:$M$94,Assumptions!$C$97:$M$97)))</f>
        <v>26582.47515</v>
      </c>
      <c r="DW5" s="54">
        <f t="array" ref="DW5">IF(DW$2=1,Assumptions!$X5/12,(SUMIF($D$2:$EE$2,DW$2-1,$D5:$EE5)/12)*(1+XLOOKUP(DW$2,Assumptions!$C$94:$M$94,Assumptions!$C$97:$M$97)))</f>
        <v>26582.47515</v>
      </c>
      <c r="DX5" s="54">
        <f t="array" ref="DX5">IF(DX$2=1,Assumptions!$X5/12,(SUMIF($D$2:$EE$2,DX$2-1,$D5:$EE5)/12)*(1+XLOOKUP(DX$2,Assumptions!$C$94:$M$94,Assumptions!$C$97:$M$97)))</f>
        <v>26582.47515</v>
      </c>
      <c r="DY5" s="54">
        <f t="array" ref="DY5">IF(DY$2=1,Assumptions!$X5/12,(SUMIF($D$2:$EE$2,DY$2-1,$D5:$EE5)/12)*(1+XLOOKUP(DY$2,Assumptions!$C$94:$M$94,Assumptions!$C$97:$M$97)))</f>
        <v>26582.47515</v>
      </c>
      <c r="DZ5" s="54">
        <f t="array" ref="DZ5">IF(DZ$2=1,Assumptions!$X5/12,(SUMIF($D$2:$EE$2,DZ$2-1,$D5:$EE5)/12)*(1+XLOOKUP(DZ$2,Assumptions!$C$94:$M$94,Assumptions!$C$97:$M$97)))</f>
        <v>26582.47515</v>
      </c>
      <c r="EA5" s="54">
        <f t="array" ref="EA5">IF(EA$2=1,Assumptions!$X5/12,(SUMIF($D$2:$EE$2,EA$2-1,$D5:$EE5)/12)*(1+XLOOKUP(EA$2,Assumptions!$C$94:$M$94,Assumptions!$C$97:$M$97)))</f>
        <v>26582.47515</v>
      </c>
      <c r="EB5" s="54">
        <f t="array" ref="EB5">IF(EB$2=1,Assumptions!$X5/12,(SUMIF($D$2:$EE$2,EB$2-1,$D5:$EE5)/12)*(1+XLOOKUP(EB$2,Assumptions!$C$94:$M$94,Assumptions!$C$97:$M$97)))</f>
        <v>26582.47515</v>
      </c>
      <c r="EC5" s="54">
        <f t="array" ref="EC5">IF(EC$2=1,Assumptions!$X5/12,(SUMIF($D$2:$EE$2,EC$2-1,$D5:$EE5)/12)*(1+XLOOKUP(EC$2,Assumptions!$C$94:$M$94,Assumptions!$C$97:$M$97)))</f>
        <v>26582.47515</v>
      </c>
      <c r="ED5" s="54">
        <f t="array" ref="ED5">IF(ED$2=1,Assumptions!$X5/12,(SUMIF($D$2:$EE$2,ED$2-1,$D5:$EE5)/12)*(1+XLOOKUP(ED$2,Assumptions!$C$94:$M$94,Assumptions!$C$97:$M$97)))</f>
        <v>26582.47515</v>
      </c>
      <c r="EE5" s="54">
        <f t="array" ref="EE5">IF(EE$2=1,Assumptions!$X5/12,(SUMIF($D$2:$EE$2,EE$2-1,$D5:$EE5)/12)*(1+XLOOKUP(EE$2,Assumptions!$C$94:$M$94,Assumptions!$C$97:$M$97)))</f>
        <v>26582.47515</v>
      </c>
    </row>
    <row r="6" ht="15.75" customHeight="1">
      <c r="A6" s="1"/>
      <c r="B6" s="1"/>
      <c r="C6" s="1" t="str">
        <f>Assumptions!R6</f>
        <v>2x2</v>
      </c>
      <c r="D6" s="54">
        <f t="array" ref="D6">IF(D$2=1,Assumptions!$X6/12,(SUMIF($D$2:$EE$2,D$2-1,$D6:$EE6)/12)*(1+XLOOKUP(D$2,Assumptions!$C$94:$M$94,Assumptions!$C$97:$M$97)))</f>
        <v>16627.8</v>
      </c>
      <c r="E6" s="54">
        <f t="array" ref="E6">IF(E$2=1,Assumptions!$X6/12,(SUMIF($D$2:$EE$2,E$2-1,$D6:$EE6)/12)*(1+XLOOKUP(E$2,Assumptions!$C$94:$M$94,Assumptions!$C$97:$M$97)))</f>
        <v>16627.8</v>
      </c>
      <c r="F6" s="54">
        <f t="array" ref="F6">IF(F$2=1,Assumptions!$X6/12,(SUMIF($D$2:$EE$2,F$2-1,$D6:$EE6)/12)*(1+XLOOKUP(F$2,Assumptions!$C$94:$M$94,Assumptions!$C$97:$M$97)))</f>
        <v>16627.8</v>
      </c>
      <c r="G6" s="54">
        <f t="array" ref="G6">IF(G$2=1,Assumptions!$X6/12,(SUMIF($D$2:$EE$2,G$2-1,$D6:$EE6)/12)*(1+XLOOKUP(G$2,Assumptions!$C$94:$M$94,Assumptions!$C$97:$M$97)))</f>
        <v>16627.8</v>
      </c>
      <c r="H6" s="54">
        <f t="array" ref="H6">IF(H$2=1,Assumptions!$X6/12,(SUMIF($D$2:$EE$2,H$2-1,$D6:$EE6)/12)*(1+XLOOKUP(H$2,Assumptions!$C$94:$M$94,Assumptions!$C$97:$M$97)))</f>
        <v>16627.8</v>
      </c>
      <c r="I6" s="54">
        <f t="array" ref="I6">IF(I$2=1,Assumptions!$X6/12,(SUMIF($D$2:$EE$2,I$2-1,$D6:$EE6)/12)*(1+XLOOKUP(I$2,Assumptions!$C$94:$M$94,Assumptions!$C$97:$M$97)))</f>
        <v>16627.8</v>
      </c>
      <c r="J6" s="54">
        <f t="array" ref="J6">IF(J$2=1,Assumptions!$X6/12,(SUMIF($D$2:$EE$2,J$2-1,$D6:$EE6)/12)*(1+XLOOKUP(J$2,Assumptions!$C$94:$M$94,Assumptions!$C$97:$M$97)))</f>
        <v>16627.8</v>
      </c>
      <c r="K6" s="54">
        <f t="array" ref="K6">IF(K$2=1,Assumptions!$X6/12,(SUMIF($D$2:$EE$2,K$2-1,$D6:$EE6)/12)*(1+XLOOKUP(K$2,Assumptions!$C$94:$M$94,Assumptions!$C$97:$M$97)))</f>
        <v>16627.8</v>
      </c>
      <c r="L6" s="54">
        <f t="array" ref="L6">IF(L$2=1,Assumptions!$X6/12,(SUMIF($D$2:$EE$2,L$2-1,$D6:$EE6)/12)*(1+XLOOKUP(L$2,Assumptions!$C$94:$M$94,Assumptions!$C$97:$M$97)))</f>
        <v>16627.8</v>
      </c>
      <c r="M6" s="54">
        <f t="array" ref="M6">IF(M$2=1,Assumptions!$X6/12,(SUMIF($D$2:$EE$2,M$2-1,$D6:$EE6)/12)*(1+XLOOKUP(M$2,Assumptions!$C$94:$M$94,Assumptions!$C$97:$M$97)))</f>
        <v>16627.8</v>
      </c>
      <c r="N6" s="54">
        <f t="array" ref="N6">IF(N$2=1,Assumptions!$X6/12,(SUMIF($D$2:$EE$2,N$2-1,$D6:$EE6)/12)*(1+XLOOKUP(N$2,Assumptions!$C$94:$M$94,Assumptions!$C$97:$M$97)))</f>
        <v>16627.8</v>
      </c>
      <c r="O6" s="54">
        <f t="array" ref="O6">IF(O$2=1,Assumptions!$X6/12,(SUMIF($D$2:$EE$2,O$2-1,$D6:$EE6)/12)*(1+XLOOKUP(O$2,Assumptions!$C$94:$M$94,Assumptions!$C$97:$M$97)))</f>
        <v>16627.8</v>
      </c>
      <c r="P6" s="54">
        <f t="array" ref="P6">IF(P$2=1,Assumptions!$X6/12,(SUMIF($D$2:$EE$2,P$2-1,$D6:$EE6)/12)*(1+XLOOKUP(P$2,Assumptions!$C$94:$M$94,Assumptions!$C$97:$M$97)))</f>
        <v>17126.634</v>
      </c>
      <c r="Q6" s="54">
        <f t="array" ref="Q6">IF(Q$2=1,Assumptions!$X6/12,(SUMIF($D$2:$EE$2,Q$2-1,$D6:$EE6)/12)*(1+XLOOKUP(Q$2,Assumptions!$C$94:$M$94,Assumptions!$C$97:$M$97)))</f>
        <v>17126.634</v>
      </c>
      <c r="R6" s="54">
        <f t="array" ref="R6">IF(R$2=1,Assumptions!$X6/12,(SUMIF($D$2:$EE$2,R$2-1,$D6:$EE6)/12)*(1+XLOOKUP(R$2,Assumptions!$C$94:$M$94,Assumptions!$C$97:$M$97)))</f>
        <v>17126.634</v>
      </c>
      <c r="S6" s="54">
        <f t="array" ref="S6">IF(S$2=1,Assumptions!$X6/12,(SUMIF($D$2:$EE$2,S$2-1,$D6:$EE6)/12)*(1+XLOOKUP(S$2,Assumptions!$C$94:$M$94,Assumptions!$C$97:$M$97)))</f>
        <v>17126.634</v>
      </c>
      <c r="T6" s="54">
        <f t="array" ref="T6">IF(T$2=1,Assumptions!$X6/12,(SUMIF($D$2:$EE$2,T$2-1,$D6:$EE6)/12)*(1+XLOOKUP(T$2,Assumptions!$C$94:$M$94,Assumptions!$C$97:$M$97)))</f>
        <v>17126.634</v>
      </c>
      <c r="U6" s="54">
        <f t="array" ref="U6">IF(U$2=1,Assumptions!$X6/12,(SUMIF($D$2:$EE$2,U$2-1,$D6:$EE6)/12)*(1+XLOOKUP(U$2,Assumptions!$C$94:$M$94,Assumptions!$C$97:$M$97)))</f>
        <v>17126.634</v>
      </c>
      <c r="V6" s="54">
        <f t="array" ref="V6">IF(V$2=1,Assumptions!$X6/12,(SUMIF($D$2:$EE$2,V$2-1,$D6:$EE6)/12)*(1+XLOOKUP(V$2,Assumptions!$C$94:$M$94,Assumptions!$C$97:$M$97)))</f>
        <v>17126.634</v>
      </c>
      <c r="W6" s="54">
        <f t="array" ref="W6">IF(W$2=1,Assumptions!$X6/12,(SUMIF($D$2:$EE$2,W$2-1,$D6:$EE6)/12)*(1+XLOOKUP(W$2,Assumptions!$C$94:$M$94,Assumptions!$C$97:$M$97)))</f>
        <v>17126.634</v>
      </c>
      <c r="X6" s="54">
        <f t="array" ref="X6">IF(X$2=1,Assumptions!$X6/12,(SUMIF($D$2:$EE$2,X$2-1,$D6:$EE6)/12)*(1+XLOOKUP(X$2,Assumptions!$C$94:$M$94,Assumptions!$C$97:$M$97)))</f>
        <v>17126.634</v>
      </c>
      <c r="Y6" s="54">
        <f t="array" ref="Y6">IF(Y$2=1,Assumptions!$X6/12,(SUMIF($D$2:$EE$2,Y$2-1,$D6:$EE6)/12)*(1+XLOOKUP(Y$2,Assumptions!$C$94:$M$94,Assumptions!$C$97:$M$97)))</f>
        <v>17126.634</v>
      </c>
      <c r="Z6" s="54">
        <f t="array" ref="Z6">IF(Z$2=1,Assumptions!$X6/12,(SUMIF($D$2:$EE$2,Z$2-1,$D6:$EE6)/12)*(1+XLOOKUP(Z$2,Assumptions!$C$94:$M$94,Assumptions!$C$97:$M$97)))</f>
        <v>17126.634</v>
      </c>
      <c r="AA6" s="54">
        <f t="array" ref="AA6">IF(AA$2=1,Assumptions!$X6/12,(SUMIF($D$2:$EE$2,AA$2-1,$D6:$EE6)/12)*(1+XLOOKUP(AA$2,Assumptions!$C$94:$M$94,Assumptions!$C$97:$M$97)))</f>
        <v>17126.634</v>
      </c>
      <c r="AB6" s="54">
        <f t="array" ref="AB6">IF(AB$2=1,Assumptions!$X6/12,(SUMIF($D$2:$EE$2,AB$2-1,$D6:$EE6)/12)*(1+XLOOKUP(AB$2,Assumptions!$C$94:$M$94,Assumptions!$C$97:$M$97)))</f>
        <v>17640.43302</v>
      </c>
      <c r="AC6" s="54">
        <f t="array" ref="AC6">IF(AC$2=1,Assumptions!$X6/12,(SUMIF($D$2:$EE$2,AC$2-1,$D6:$EE6)/12)*(1+XLOOKUP(AC$2,Assumptions!$C$94:$M$94,Assumptions!$C$97:$M$97)))</f>
        <v>17640.43302</v>
      </c>
      <c r="AD6" s="54">
        <f t="array" ref="AD6">IF(AD$2=1,Assumptions!$X6/12,(SUMIF($D$2:$EE$2,AD$2-1,$D6:$EE6)/12)*(1+XLOOKUP(AD$2,Assumptions!$C$94:$M$94,Assumptions!$C$97:$M$97)))</f>
        <v>17640.43302</v>
      </c>
      <c r="AE6" s="54">
        <f t="array" ref="AE6">IF(AE$2=1,Assumptions!$X6/12,(SUMIF($D$2:$EE$2,AE$2-1,$D6:$EE6)/12)*(1+XLOOKUP(AE$2,Assumptions!$C$94:$M$94,Assumptions!$C$97:$M$97)))</f>
        <v>17640.43302</v>
      </c>
      <c r="AF6" s="54">
        <f t="array" ref="AF6">IF(AF$2=1,Assumptions!$X6/12,(SUMIF($D$2:$EE$2,AF$2-1,$D6:$EE6)/12)*(1+XLOOKUP(AF$2,Assumptions!$C$94:$M$94,Assumptions!$C$97:$M$97)))</f>
        <v>17640.43302</v>
      </c>
      <c r="AG6" s="54">
        <f t="array" ref="AG6">IF(AG$2=1,Assumptions!$X6/12,(SUMIF($D$2:$EE$2,AG$2-1,$D6:$EE6)/12)*(1+XLOOKUP(AG$2,Assumptions!$C$94:$M$94,Assumptions!$C$97:$M$97)))</f>
        <v>17640.43302</v>
      </c>
      <c r="AH6" s="54">
        <f t="array" ref="AH6">IF(AH$2=1,Assumptions!$X6/12,(SUMIF($D$2:$EE$2,AH$2-1,$D6:$EE6)/12)*(1+XLOOKUP(AH$2,Assumptions!$C$94:$M$94,Assumptions!$C$97:$M$97)))</f>
        <v>17640.43302</v>
      </c>
      <c r="AI6" s="54">
        <f t="array" ref="AI6">IF(AI$2=1,Assumptions!$X6/12,(SUMIF($D$2:$EE$2,AI$2-1,$D6:$EE6)/12)*(1+XLOOKUP(AI$2,Assumptions!$C$94:$M$94,Assumptions!$C$97:$M$97)))</f>
        <v>17640.43302</v>
      </c>
      <c r="AJ6" s="54">
        <f t="array" ref="AJ6">IF(AJ$2=1,Assumptions!$X6/12,(SUMIF($D$2:$EE$2,AJ$2-1,$D6:$EE6)/12)*(1+XLOOKUP(AJ$2,Assumptions!$C$94:$M$94,Assumptions!$C$97:$M$97)))</f>
        <v>17640.43302</v>
      </c>
      <c r="AK6" s="54">
        <f t="array" ref="AK6">IF(AK$2=1,Assumptions!$X6/12,(SUMIF($D$2:$EE$2,AK$2-1,$D6:$EE6)/12)*(1+XLOOKUP(AK$2,Assumptions!$C$94:$M$94,Assumptions!$C$97:$M$97)))</f>
        <v>17640.43302</v>
      </c>
      <c r="AL6" s="54">
        <f t="array" ref="AL6">IF(AL$2=1,Assumptions!$X6/12,(SUMIF($D$2:$EE$2,AL$2-1,$D6:$EE6)/12)*(1+XLOOKUP(AL$2,Assumptions!$C$94:$M$94,Assumptions!$C$97:$M$97)))</f>
        <v>17640.43302</v>
      </c>
      <c r="AM6" s="54">
        <f t="array" ref="AM6">IF(AM$2=1,Assumptions!$X6/12,(SUMIF($D$2:$EE$2,AM$2-1,$D6:$EE6)/12)*(1+XLOOKUP(AM$2,Assumptions!$C$94:$M$94,Assumptions!$C$97:$M$97)))</f>
        <v>17640.43302</v>
      </c>
      <c r="AN6" s="54">
        <f t="array" ref="AN6">IF(AN$2=1,Assumptions!$X6/12,(SUMIF($D$2:$EE$2,AN$2-1,$D6:$EE6)/12)*(1+XLOOKUP(AN$2,Assumptions!$C$94:$M$94,Assumptions!$C$97:$M$97)))</f>
        <v>18169.64601</v>
      </c>
      <c r="AO6" s="54">
        <f t="array" ref="AO6">IF(AO$2=1,Assumptions!$X6/12,(SUMIF($D$2:$EE$2,AO$2-1,$D6:$EE6)/12)*(1+XLOOKUP(AO$2,Assumptions!$C$94:$M$94,Assumptions!$C$97:$M$97)))</f>
        <v>18169.64601</v>
      </c>
      <c r="AP6" s="54">
        <f t="array" ref="AP6">IF(AP$2=1,Assumptions!$X6/12,(SUMIF($D$2:$EE$2,AP$2-1,$D6:$EE6)/12)*(1+XLOOKUP(AP$2,Assumptions!$C$94:$M$94,Assumptions!$C$97:$M$97)))</f>
        <v>18169.64601</v>
      </c>
      <c r="AQ6" s="54">
        <f t="array" ref="AQ6">IF(AQ$2=1,Assumptions!$X6/12,(SUMIF($D$2:$EE$2,AQ$2-1,$D6:$EE6)/12)*(1+XLOOKUP(AQ$2,Assumptions!$C$94:$M$94,Assumptions!$C$97:$M$97)))</f>
        <v>18169.64601</v>
      </c>
      <c r="AR6" s="54">
        <f t="array" ref="AR6">IF(AR$2=1,Assumptions!$X6/12,(SUMIF($D$2:$EE$2,AR$2-1,$D6:$EE6)/12)*(1+XLOOKUP(AR$2,Assumptions!$C$94:$M$94,Assumptions!$C$97:$M$97)))</f>
        <v>18169.64601</v>
      </c>
      <c r="AS6" s="54">
        <f t="array" ref="AS6">IF(AS$2=1,Assumptions!$X6/12,(SUMIF($D$2:$EE$2,AS$2-1,$D6:$EE6)/12)*(1+XLOOKUP(AS$2,Assumptions!$C$94:$M$94,Assumptions!$C$97:$M$97)))</f>
        <v>18169.64601</v>
      </c>
      <c r="AT6" s="54">
        <f t="array" ref="AT6">IF(AT$2=1,Assumptions!$X6/12,(SUMIF($D$2:$EE$2,AT$2-1,$D6:$EE6)/12)*(1+XLOOKUP(AT$2,Assumptions!$C$94:$M$94,Assumptions!$C$97:$M$97)))</f>
        <v>18169.64601</v>
      </c>
      <c r="AU6" s="54">
        <f t="array" ref="AU6">IF(AU$2=1,Assumptions!$X6/12,(SUMIF($D$2:$EE$2,AU$2-1,$D6:$EE6)/12)*(1+XLOOKUP(AU$2,Assumptions!$C$94:$M$94,Assumptions!$C$97:$M$97)))</f>
        <v>18169.64601</v>
      </c>
      <c r="AV6" s="54">
        <f t="array" ref="AV6">IF(AV$2=1,Assumptions!$X6/12,(SUMIF($D$2:$EE$2,AV$2-1,$D6:$EE6)/12)*(1+XLOOKUP(AV$2,Assumptions!$C$94:$M$94,Assumptions!$C$97:$M$97)))</f>
        <v>18169.64601</v>
      </c>
      <c r="AW6" s="54">
        <f t="array" ref="AW6">IF(AW$2=1,Assumptions!$X6/12,(SUMIF($D$2:$EE$2,AW$2-1,$D6:$EE6)/12)*(1+XLOOKUP(AW$2,Assumptions!$C$94:$M$94,Assumptions!$C$97:$M$97)))</f>
        <v>18169.64601</v>
      </c>
      <c r="AX6" s="54">
        <f t="array" ref="AX6">IF(AX$2=1,Assumptions!$X6/12,(SUMIF($D$2:$EE$2,AX$2-1,$D6:$EE6)/12)*(1+XLOOKUP(AX$2,Assumptions!$C$94:$M$94,Assumptions!$C$97:$M$97)))</f>
        <v>18169.64601</v>
      </c>
      <c r="AY6" s="54">
        <f t="array" ref="AY6">IF(AY$2=1,Assumptions!$X6/12,(SUMIF($D$2:$EE$2,AY$2-1,$D6:$EE6)/12)*(1+XLOOKUP(AY$2,Assumptions!$C$94:$M$94,Assumptions!$C$97:$M$97)))</f>
        <v>18169.64601</v>
      </c>
      <c r="AZ6" s="54">
        <f t="array" ref="AZ6">IF(AZ$2=1,Assumptions!$X6/12,(SUMIF($D$2:$EE$2,AZ$2-1,$D6:$EE6)/12)*(1+XLOOKUP(AZ$2,Assumptions!$C$94:$M$94,Assumptions!$C$97:$M$97)))</f>
        <v>18714.73539</v>
      </c>
      <c r="BA6" s="54">
        <f t="array" ref="BA6">IF(BA$2=1,Assumptions!$X6/12,(SUMIF($D$2:$EE$2,BA$2-1,$D6:$EE6)/12)*(1+XLOOKUP(BA$2,Assumptions!$C$94:$M$94,Assumptions!$C$97:$M$97)))</f>
        <v>18714.73539</v>
      </c>
      <c r="BB6" s="54">
        <f t="array" ref="BB6">IF(BB$2=1,Assumptions!$X6/12,(SUMIF($D$2:$EE$2,BB$2-1,$D6:$EE6)/12)*(1+XLOOKUP(BB$2,Assumptions!$C$94:$M$94,Assumptions!$C$97:$M$97)))</f>
        <v>18714.73539</v>
      </c>
      <c r="BC6" s="54">
        <f t="array" ref="BC6">IF(BC$2=1,Assumptions!$X6/12,(SUMIF($D$2:$EE$2,BC$2-1,$D6:$EE6)/12)*(1+XLOOKUP(BC$2,Assumptions!$C$94:$M$94,Assumptions!$C$97:$M$97)))</f>
        <v>18714.73539</v>
      </c>
      <c r="BD6" s="54">
        <f t="array" ref="BD6">IF(BD$2=1,Assumptions!$X6/12,(SUMIF($D$2:$EE$2,BD$2-1,$D6:$EE6)/12)*(1+XLOOKUP(BD$2,Assumptions!$C$94:$M$94,Assumptions!$C$97:$M$97)))</f>
        <v>18714.73539</v>
      </c>
      <c r="BE6" s="54">
        <f t="array" ref="BE6">IF(BE$2=1,Assumptions!$X6/12,(SUMIF($D$2:$EE$2,BE$2-1,$D6:$EE6)/12)*(1+XLOOKUP(BE$2,Assumptions!$C$94:$M$94,Assumptions!$C$97:$M$97)))</f>
        <v>18714.73539</v>
      </c>
      <c r="BF6" s="54">
        <f t="array" ref="BF6">IF(BF$2=1,Assumptions!$X6/12,(SUMIF($D$2:$EE$2,BF$2-1,$D6:$EE6)/12)*(1+XLOOKUP(BF$2,Assumptions!$C$94:$M$94,Assumptions!$C$97:$M$97)))</f>
        <v>18714.73539</v>
      </c>
      <c r="BG6" s="54">
        <f t="array" ref="BG6">IF(BG$2=1,Assumptions!$X6/12,(SUMIF($D$2:$EE$2,BG$2-1,$D6:$EE6)/12)*(1+XLOOKUP(BG$2,Assumptions!$C$94:$M$94,Assumptions!$C$97:$M$97)))</f>
        <v>18714.73539</v>
      </c>
      <c r="BH6" s="54">
        <f t="array" ref="BH6">IF(BH$2=1,Assumptions!$X6/12,(SUMIF($D$2:$EE$2,BH$2-1,$D6:$EE6)/12)*(1+XLOOKUP(BH$2,Assumptions!$C$94:$M$94,Assumptions!$C$97:$M$97)))</f>
        <v>18714.73539</v>
      </c>
      <c r="BI6" s="54">
        <f t="array" ref="BI6">IF(BI$2=1,Assumptions!$X6/12,(SUMIF($D$2:$EE$2,BI$2-1,$D6:$EE6)/12)*(1+XLOOKUP(BI$2,Assumptions!$C$94:$M$94,Assumptions!$C$97:$M$97)))</f>
        <v>18714.73539</v>
      </c>
      <c r="BJ6" s="54">
        <f t="array" ref="BJ6">IF(BJ$2=1,Assumptions!$X6/12,(SUMIF($D$2:$EE$2,BJ$2-1,$D6:$EE6)/12)*(1+XLOOKUP(BJ$2,Assumptions!$C$94:$M$94,Assumptions!$C$97:$M$97)))</f>
        <v>18714.73539</v>
      </c>
      <c r="BK6" s="54">
        <f t="array" ref="BK6">IF(BK$2=1,Assumptions!$X6/12,(SUMIF($D$2:$EE$2,BK$2-1,$D6:$EE6)/12)*(1+XLOOKUP(BK$2,Assumptions!$C$94:$M$94,Assumptions!$C$97:$M$97)))</f>
        <v>18714.73539</v>
      </c>
      <c r="BL6" s="54">
        <f t="array" ref="BL6">IF(BL$2=1,Assumptions!$X6/12,(SUMIF($D$2:$EE$2,BL$2-1,$D6:$EE6)/12)*(1+XLOOKUP(BL$2,Assumptions!$C$94:$M$94,Assumptions!$C$97:$M$97)))</f>
        <v>19276.17745</v>
      </c>
      <c r="BM6" s="54">
        <f t="array" ref="BM6">IF(BM$2=1,Assumptions!$X6/12,(SUMIF($D$2:$EE$2,BM$2-1,$D6:$EE6)/12)*(1+XLOOKUP(BM$2,Assumptions!$C$94:$M$94,Assumptions!$C$97:$M$97)))</f>
        <v>19276.17745</v>
      </c>
      <c r="BN6" s="54">
        <f t="array" ref="BN6">IF(BN$2=1,Assumptions!$X6/12,(SUMIF($D$2:$EE$2,BN$2-1,$D6:$EE6)/12)*(1+XLOOKUP(BN$2,Assumptions!$C$94:$M$94,Assumptions!$C$97:$M$97)))</f>
        <v>19276.17745</v>
      </c>
      <c r="BO6" s="54">
        <f t="array" ref="BO6">IF(BO$2=1,Assumptions!$X6/12,(SUMIF($D$2:$EE$2,BO$2-1,$D6:$EE6)/12)*(1+XLOOKUP(BO$2,Assumptions!$C$94:$M$94,Assumptions!$C$97:$M$97)))</f>
        <v>19276.17745</v>
      </c>
      <c r="BP6" s="54">
        <f t="array" ref="BP6">IF(BP$2=1,Assumptions!$X6/12,(SUMIF($D$2:$EE$2,BP$2-1,$D6:$EE6)/12)*(1+XLOOKUP(BP$2,Assumptions!$C$94:$M$94,Assumptions!$C$97:$M$97)))</f>
        <v>19276.17745</v>
      </c>
      <c r="BQ6" s="54">
        <f t="array" ref="BQ6">IF(BQ$2=1,Assumptions!$X6/12,(SUMIF($D$2:$EE$2,BQ$2-1,$D6:$EE6)/12)*(1+XLOOKUP(BQ$2,Assumptions!$C$94:$M$94,Assumptions!$C$97:$M$97)))</f>
        <v>19276.17745</v>
      </c>
      <c r="BR6" s="54">
        <f t="array" ref="BR6">IF(BR$2=1,Assumptions!$X6/12,(SUMIF($D$2:$EE$2,BR$2-1,$D6:$EE6)/12)*(1+XLOOKUP(BR$2,Assumptions!$C$94:$M$94,Assumptions!$C$97:$M$97)))</f>
        <v>19276.17745</v>
      </c>
      <c r="BS6" s="54">
        <f t="array" ref="BS6">IF(BS$2=1,Assumptions!$X6/12,(SUMIF($D$2:$EE$2,BS$2-1,$D6:$EE6)/12)*(1+XLOOKUP(BS$2,Assumptions!$C$94:$M$94,Assumptions!$C$97:$M$97)))</f>
        <v>19276.17745</v>
      </c>
      <c r="BT6" s="54">
        <f t="array" ref="BT6">IF(BT$2=1,Assumptions!$X6/12,(SUMIF($D$2:$EE$2,BT$2-1,$D6:$EE6)/12)*(1+XLOOKUP(BT$2,Assumptions!$C$94:$M$94,Assumptions!$C$97:$M$97)))</f>
        <v>19276.17745</v>
      </c>
      <c r="BU6" s="54">
        <f t="array" ref="BU6">IF(BU$2=1,Assumptions!$X6/12,(SUMIF($D$2:$EE$2,BU$2-1,$D6:$EE6)/12)*(1+XLOOKUP(BU$2,Assumptions!$C$94:$M$94,Assumptions!$C$97:$M$97)))</f>
        <v>19276.17745</v>
      </c>
      <c r="BV6" s="54">
        <f t="array" ref="BV6">IF(BV$2=1,Assumptions!$X6/12,(SUMIF($D$2:$EE$2,BV$2-1,$D6:$EE6)/12)*(1+XLOOKUP(BV$2,Assumptions!$C$94:$M$94,Assumptions!$C$97:$M$97)))</f>
        <v>19276.17745</v>
      </c>
      <c r="BW6" s="54">
        <f t="array" ref="BW6">IF(BW$2=1,Assumptions!$X6/12,(SUMIF($D$2:$EE$2,BW$2-1,$D6:$EE6)/12)*(1+XLOOKUP(BW$2,Assumptions!$C$94:$M$94,Assumptions!$C$97:$M$97)))</f>
        <v>19276.17745</v>
      </c>
      <c r="BX6" s="54">
        <f t="array" ref="BX6">IF(BX$2=1,Assumptions!$X6/12,(SUMIF($D$2:$EE$2,BX$2-1,$D6:$EE6)/12)*(1+XLOOKUP(BX$2,Assumptions!$C$94:$M$94,Assumptions!$C$97:$M$97)))</f>
        <v>19854.46278</v>
      </c>
      <c r="BY6" s="54">
        <f t="array" ref="BY6">IF(BY$2=1,Assumptions!$X6/12,(SUMIF($D$2:$EE$2,BY$2-1,$D6:$EE6)/12)*(1+XLOOKUP(BY$2,Assumptions!$C$94:$M$94,Assumptions!$C$97:$M$97)))</f>
        <v>19854.46278</v>
      </c>
      <c r="BZ6" s="54">
        <f t="array" ref="BZ6">IF(BZ$2=1,Assumptions!$X6/12,(SUMIF($D$2:$EE$2,BZ$2-1,$D6:$EE6)/12)*(1+XLOOKUP(BZ$2,Assumptions!$C$94:$M$94,Assumptions!$C$97:$M$97)))</f>
        <v>19854.46278</v>
      </c>
      <c r="CA6" s="54">
        <f t="array" ref="CA6">IF(CA$2=1,Assumptions!$X6/12,(SUMIF($D$2:$EE$2,CA$2-1,$D6:$EE6)/12)*(1+XLOOKUP(CA$2,Assumptions!$C$94:$M$94,Assumptions!$C$97:$M$97)))</f>
        <v>19854.46278</v>
      </c>
      <c r="CB6" s="54">
        <f t="array" ref="CB6">IF(CB$2=1,Assumptions!$X6/12,(SUMIF($D$2:$EE$2,CB$2-1,$D6:$EE6)/12)*(1+XLOOKUP(CB$2,Assumptions!$C$94:$M$94,Assumptions!$C$97:$M$97)))</f>
        <v>19854.46278</v>
      </c>
      <c r="CC6" s="54">
        <f t="array" ref="CC6">IF(CC$2=1,Assumptions!$X6/12,(SUMIF($D$2:$EE$2,CC$2-1,$D6:$EE6)/12)*(1+XLOOKUP(CC$2,Assumptions!$C$94:$M$94,Assumptions!$C$97:$M$97)))</f>
        <v>19854.46278</v>
      </c>
      <c r="CD6" s="54">
        <f t="array" ref="CD6">IF(CD$2=1,Assumptions!$X6/12,(SUMIF($D$2:$EE$2,CD$2-1,$D6:$EE6)/12)*(1+XLOOKUP(CD$2,Assumptions!$C$94:$M$94,Assumptions!$C$97:$M$97)))</f>
        <v>19854.46278</v>
      </c>
      <c r="CE6" s="54">
        <f t="array" ref="CE6">IF(CE$2=1,Assumptions!$X6/12,(SUMIF($D$2:$EE$2,CE$2-1,$D6:$EE6)/12)*(1+XLOOKUP(CE$2,Assumptions!$C$94:$M$94,Assumptions!$C$97:$M$97)))</f>
        <v>19854.46278</v>
      </c>
      <c r="CF6" s="54">
        <f t="array" ref="CF6">IF(CF$2=1,Assumptions!$X6/12,(SUMIF($D$2:$EE$2,CF$2-1,$D6:$EE6)/12)*(1+XLOOKUP(CF$2,Assumptions!$C$94:$M$94,Assumptions!$C$97:$M$97)))</f>
        <v>19854.46278</v>
      </c>
      <c r="CG6" s="54">
        <f t="array" ref="CG6">IF(CG$2=1,Assumptions!$X6/12,(SUMIF($D$2:$EE$2,CG$2-1,$D6:$EE6)/12)*(1+XLOOKUP(CG$2,Assumptions!$C$94:$M$94,Assumptions!$C$97:$M$97)))</f>
        <v>19854.46278</v>
      </c>
      <c r="CH6" s="54">
        <f t="array" ref="CH6">IF(CH$2=1,Assumptions!$X6/12,(SUMIF($D$2:$EE$2,CH$2-1,$D6:$EE6)/12)*(1+XLOOKUP(CH$2,Assumptions!$C$94:$M$94,Assumptions!$C$97:$M$97)))</f>
        <v>19854.46278</v>
      </c>
      <c r="CI6" s="54">
        <f t="array" ref="CI6">IF(CI$2=1,Assumptions!$X6/12,(SUMIF($D$2:$EE$2,CI$2-1,$D6:$EE6)/12)*(1+XLOOKUP(CI$2,Assumptions!$C$94:$M$94,Assumptions!$C$97:$M$97)))</f>
        <v>19854.46278</v>
      </c>
      <c r="CJ6" s="54">
        <f t="array" ref="CJ6">IF(CJ$2=1,Assumptions!$X6/12,(SUMIF($D$2:$EE$2,CJ$2-1,$D6:$EE6)/12)*(1+XLOOKUP(CJ$2,Assumptions!$C$94:$M$94,Assumptions!$C$97:$M$97)))</f>
        <v>20450.09666</v>
      </c>
      <c r="CK6" s="54">
        <f t="array" ref="CK6">IF(CK$2=1,Assumptions!$X6/12,(SUMIF($D$2:$EE$2,CK$2-1,$D6:$EE6)/12)*(1+XLOOKUP(CK$2,Assumptions!$C$94:$M$94,Assumptions!$C$97:$M$97)))</f>
        <v>20450.09666</v>
      </c>
      <c r="CL6" s="54">
        <f t="array" ref="CL6">IF(CL$2=1,Assumptions!$X6/12,(SUMIF($D$2:$EE$2,CL$2-1,$D6:$EE6)/12)*(1+XLOOKUP(CL$2,Assumptions!$C$94:$M$94,Assumptions!$C$97:$M$97)))</f>
        <v>20450.09666</v>
      </c>
      <c r="CM6" s="54">
        <f t="array" ref="CM6">IF(CM$2=1,Assumptions!$X6/12,(SUMIF($D$2:$EE$2,CM$2-1,$D6:$EE6)/12)*(1+XLOOKUP(CM$2,Assumptions!$C$94:$M$94,Assumptions!$C$97:$M$97)))</f>
        <v>20450.09666</v>
      </c>
      <c r="CN6" s="54">
        <f t="array" ref="CN6">IF(CN$2=1,Assumptions!$X6/12,(SUMIF($D$2:$EE$2,CN$2-1,$D6:$EE6)/12)*(1+XLOOKUP(CN$2,Assumptions!$C$94:$M$94,Assumptions!$C$97:$M$97)))</f>
        <v>20450.09666</v>
      </c>
      <c r="CO6" s="54">
        <f t="array" ref="CO6">IF(CO$2=1,Assumptions!$X6/12,(SUMIF($D$2:$EE$2,CO$2-1,$D6:$EE6)/12)*(1+XLOOKUP(CO$2,Assumptions!$C$94:$M$94,Assumptions!$C$97:$M$97)))</f>
        <v>20450.09666</v>
      </c>
      <c r="CP6" s="54">
        <f t="array" ref="CP6">IF(CP$2=1,Assumptions!$X6/12,(SUMIF($D$2:$EE$2,CP$2-1,$D6:$EE6)/12)*(1+XLOOKUP(CP$2,Assumptions!$C$94:$M$94,Assumptions!$C$97:$M$97)))</f>
        <v>20450.09666</v>
      </c>
      <c r="CQ6" s="54">
        <f t="array" ref="CQ6">IF(CQ$2=1,Assumptions!$X6/12,(SUMIF($D$2:$EE$2,CQ$2-1,$D6:$EE6)/12)*(1+XLOOKUP(CQ$2,Assumptions!$C$94:$M$94,Assumptions!$C$97:$M$97)))</f>
        <v>20450.09666</v>
      </c>
      <c r="CR6" s="54">
        <f t="array" ref="CR6">IF(CR$2=1,Assumptions!$X6/12,(SUMIF($D$2:$EE$2,CR$2-1,$D6:$EE6)/12)*(1+XLOOKUP(CR$2,Assumptions!$C$94:$M$94,Assumptions!$C$97:$M$97)))</f>
        <v>20450.09666</v>
      </c>
      <c r="CS6" s="54">
        <f t="array" ref="CS6">IF(CS$2=1,Assumptions!$X6/12,(SUMIF($D$2:$EE$2,CS$2-1,$D6:$EE6)/12)*(1+XLOOKUP(CS$2,Assumptions!$C$94:$M$94,Assumptions!$C$97:$M$97)))</f>
        <v>20450.09666</v>
      </c>
      <c r="CT6" s="54">
        <f t="array" ref="CT6">IF(CT$2=1,Assumptions!$X6/12,(SUMIF($D$2:$EE$2,CT$2-1,$D6:$EE6)/12)*(1+XLOOKUP(CT$2,Assumptions!$C$94:$M$94,Assumptions!$C$97:$M$97)))</f>
        <v>20450.09666</v>
      </c>
      <c r="CU6" s="54">
        <f t="array" ref="CU6">IF(CU$2=1,Assumptions!$X6/12,(SUMIF($D$2:$EE$2,CU$2-1,$D6:$EE6)/12)*(1+XLOOKUP(CU$2,Assumptions!$C$94:$M$94,Assumptions!$C$97:$M$97)))</f>
        <v>20450.09666</v>
      </c>
      <c r="CV6" s="54">
        <f t="array" ref="CV6">IF(CV$2=1,Assumptions!$X6/12,(SUMIF($D$2:$EE$2,CV$2-1,$D6:$EE6)/12)*(1+XLOOKUP(CV$2,Assumptions!$C$94:$M$94,Assumptions!$C$97:$M$97)))</f>
        <v>21063.59956</v>
      </c>
      <c r="CW6" s="54">
        <f t="array" ref="CW6">IF(CW$2=1,Assumptions!$X6/12,(SUMIF($D$2:$EE$2,CW$2-1,$D6:$EE6)/12)*(1+XLOOKUP(CW$2,Assumptions!$C$94:$M$94,Assumptions!$C$97:$M$97)))</f>
        <v>21063.59956</v>
      </c>
      <c r="CX6" s="54">
        <f t="array" ref="CX6">IF(CX$2=1,Assumptions!$X6/12,(SUMIF($D$2:$EE$2,CX$2-1,$D6:$EE6)/12)*(1+XLOOKUP(CX$2,Assumptions!$C$94:$M$94,Assumptions!$C$97:$M$97)))</f>
        <v>21063.59956</v>
      </c>
      <c r="CY6" s="54">
        <f t="array" ref="CY6">IF(CY$2=1,Assumptions!$X6/12,(SUMIF($D$2:$EE$2,CY$2-1,$D6:$EE6)/12)*(1+XLOOKUP(CY$2,Assumptions!$C$94:$M$94,Assumptions!$C$97:$M$97)))</f>
        <v>21063.59956</v>
      </c>
      <c r="CZ6" s="54">
        <f t="array" ref="CZ6">IF(CZ$2=1,Assumptions!$X6/12,(SUMIF($D$2:$EE$2,CZ$2-1,$D6:$EE6)/12)*(1+XLOOKUP(CZ$2,Assumptions!$C$94:$M$94,Assumptions!$C$97:$M$97)))</f>
        <v>21063.59956</v>
      </c>
      <c r="DA6" s="54">
        <f t="array" ref="DA6">IF(DA$2=1,Assumptions!$X6/12,(SUMIF($D$2:$EE$2,DA$2-1,$D6:$EE6)/12)*(1+XLOOKUP(DA$2,Assumptions!$C$94:$M$94,Assumptions!$C$97:$M$97)))</f>
        <v>21063.59956</v>
      </c>
      <c r="DB6" s="54">
        <f t="array" ref="DB6">IF(DB$2=1,Assumptions!$X6/12,(SUMIF($D$2:$EE$2,DB$2-1,$D6:$EE6)/12)*(1+XLOOKUP(DB$2,Assumptions!$C$94:$M$94,Assumptions!$C$97:$M$97)))</f>
        <v>21063.59956</v>
      </c>
      <c r="DC6" s="54">
        <f t="array" ref="DC6">IF(DC$2=1,Assumptions!$X6/12,(SUMIF($D$2:$EE$2,DC$2-1,$D6:$EE6)/12)*(1+XLOOKUP(DC$2,Assumptions!$C$94:$M$94,Assumptions!$C$97:$M$97)))</f>
        <v>21063.59956</v>
      </c>
      <c r="DD6" s="54">
        <f t="array" ref="DD6">IF(DD$2=1,Assumptions!$X6/12,(SUMIF($D$2:$EE$2,DD$2-1,$D6:$EE6)/12)*(1+XLOOKUP(DD$2,Assumptions!$C$94:$M$94,Assumptions!$C$97:$M$97)))</f>
        <v>21063.59956</v>
      </c>
      <c r="DE6" s="54">
        <f t="array" ref="DE6">IF(DE$2=1,Assumptions!$X6/12,(SUMIF($D$2:$EE$2,DE$2-1,$D6:$EE6)/12)*(1+XLOOKUP(DE$2,Assumptions!$C$94:$M$94,Assumptions!$C$97:$M$97)))</f>
        <v>21063.59956</v>
      </c>
      <c r="DF6" s="54">
        <f t="array" ref="DF6">IF(DF$2=1,Assumptions!$X6/12,(SUMIF($D$2:$EE$2,DF$2-1,$D6:$EE6)/12)*(1+XLOOKUP(DF$2,Assumptions!$C$94:$M$94,Assumptions!$C$97:$M$97)))</f>
        <v>21063.59956</v>
      </c>
      <c r="DG6" s="54">
        <f t="array" ref="DG6">IF(DG$2=1,Assumptions!$X6/12,(SUMIF($D$2:$EE$2,DG$2-1,$D6:$EE6)/12)*(1+XLOOKUP(DG$2,Assumptions!$C$94:$M$94,Assumptions!$C$97:$M$97)))</f>
        <v>21063.59956</v>
      </c>
      <c r="DH6" s="54">
        <f t="array" ref="DH6">IF(DH$2=1,Assumptions!$X6/12,(SUMIF($D$2:$EE$2,DH$2-1,$D6:$EE6)/12)*(1+XLOOKUP(DH$2,Assumptions!$C$94:$M$94,Assumptions!$C$97:$M$97)))</f>
        <v>21695.50755</v>
      </c>
      <c r="DI6" s="54">
        <f t="array" ref="DI6">IF(DI$2=1,Assumptions!$X6/12,(SUMIF($D$2:$EE$2,DI$2-1,$D6:$EE6)/12)*(1+XLOOKUP(DI$2,Assumptions!$C$94:$M$94,Assumptions!$C$97:$M$97)))</f>
        <v>21695.50755</v>
      </c>
      <c r="DJ6" s="54">
        <f t="array" ref="DJ6">IF(DJ$2=1,Assumptions!$X6/12,(SUMIF($D$2:$EE$2,DJ$2-1,$D6:$EE6)/12)*(1+XLOOKUP(DJ$2,Assumptions!$C$94:$M$94,Assumptions!$C$97:$M$97)))</f>
        <v>21695.50755</v>
      </c>
      <c r="DK6" s="54">
        <f t="array" ref="DK6">IF(DK$2=1,Assumptions!$X6/12,(SUMIF($D$2:$EE$2,DK$2-1,$D6:$EE6)/12)*(1+XLOOKUP(DK$2,Assumptions!$C$94:$M$94,Assumptions!$C$97:$M$97)))</f>
        <v>21695.50755</v>
      </c>
      <c r="DL6" s="54">
        <f t="array" ref="DL6">IF(DL$2=1,Assumptions!$X6/12,(SUMIF($D$2:$EE$2,DL$2-1,$D6:$EE6)/12)*(1+XLOOKUP(DL$2,Assumptions!$C$94:$M$94,Assumptions!$C$97:$M$97)))</f>
        <v>21695.50755</v>
      </c>
      <c r="DM6" s="54">
        <f t="array" ref="DM6">IF(DM$2=1,Assumptions!$X6/12,(SUMIF($D$2:$EE$2,DM$2-1,$D6:$EE6)/12)*(1+XLOOKUP(DM$2,Assumptions!$C$94:$M$94,Assumptions!$C$97:$M$97)))</f>
        <v>21695.50755</v>
      </c>
      <c r="DN6" s="54">
        <f t="array" ref="DN6">IF(DN$2=1,Assumptions!$X6/12,(SUMIF($D$2:$EE$2,DN$2-1,$D6:$EE6)/12)*(1+XLOOKUP(DN$2,Assumptions!$C$94:$M$94,Assumptions!$C$97:$M$97)))</f>
        <v>21695.50755</v>
      </c>
      <c r="DO6" s="54">
        <f t="array" ref="DO6">IF(DO$2=1,Assumptions!$X6/12,(SUMIF($D$2:$EE$2,DO$2-1,$D6:$EE6)/12)*(1+XLOOKUP(DO$2,Assumptions!$C$94:$M$94,Assumptions!$C$97:$M$97)))</f>
        <v>21695.50755</v>
      </c>
      <c r="DP6" s="54">
        <f t="array" ref="DP6">IF(DP$2=1,Assumptions!$X6/12,(SUMIF($D$2:$EE$2,DP$2-1,$D6:$EE6)/12)*(1+XLOOKUP(DP$2,Assumptions!$C$94:$M$94,Assumptions!$C$97:$M$97)))</f>
        <v>21695.50755</v>
      </c>
      <c r="DQ6" s="54">
        <f t="array" ref="DQ6">IF(DQ$2=1,Assumptions!$X6/12,(SUMIF($D$2:$EE$2,DQ$2-1,$D6:$EE6)/12)*(1+XLOOKUP(DQ$2,Assumptions!$C$94:$M$94,Assumptions!$C$97:$M$97)))</f>
        <v>21695.50755</v>
      </c>
      <c r="DR6" s="54">
        <f t="array" ref="DR6">IF(DR$2=1,Assumptions!$X6/12,(SUMIF($D$2:$EE$2,DR$2-1,$D6:$EE6)/12)*(1+XLOOKUP(DR$2,Assumptions!$C$94:$M$94,Assumptions!$C$97:$M$97)))</f>
        <v>21695.50755</v>
      </c>
      <c r="DS6" s="54">
        <f t="array" ref="DS6">IF(DS$2=1,Assumptions!$X6/12,(SUMIF($D$2:$EE$2,DS$2-1,$D6:$EE6)/12)*(1+XLOOKUP(DS$2,Assumptions!$C$94:$M$94,Assumptions!$C$97:$M$97)))</f>
        <v>21695.50755</v>
      </c>
      <c r="DT6" s="54">
        <f t="array" ref="DT6">IF(DT$2=1,Assumptions!$X6/12,(SUMIF($D$2:$EE$2,DT$2-1,$D6:$EE6)/12)*(1+XLOOKUP(DT$2,Assumptions!$C$94:$M$94,Assumptions!$C$97:$M$97)))</f>
        <v>22346.37277</v>
      </c>
      <c r="DU6" s="54">
        <f t="array" ref="DU6">IF(DU$2=1,Assumptions!$X6/12,(SUMIF($D$2:$EE$2,DU$2-1,$D6:$EE6)/12)*(1+XLOOKUP(DU$2,Assumptions!$C$94:$M$94,Assumptions!$C$97:$M$97)))</f>
        <v>22346.37277</v>
      </c>
      <c r="DV6" s="54">
        <f t="array" ref="DV6">IF(DV$2=1,Assumptions!$X6/12,(SUMIF($D$2:$EE$2,DV$2-1,$D6:$EE6)/12)*(1+XLOOKUP(DV$2,Assumptions!$C$94:$M$94,Assumptions!$C$97:$M$97)))</f>
        <v>22346.37277</v>
      </c>
      <c r="DW6" s="54">
        <f t="array" ref="DW6">IF(DW$2=1,Assumptions!$X6/12,(SUMIF($D$2:$EE$2,DW$2-1,$D6:$EE6)/12)*(1+XLOOKUP(DW$2,Assumptions!$C$94:$M$94,Assumptions!$C$97:$M$97)))</f>
        <v>22346.37277</v>
      </c>
      <c r="DX6" s="54">
        <f t="array" ref="DX6">IF(DX$2=1,Assumptions!$X6/12,(SUMIF($D$2:$EE$2,DX$2-1,$D6:$EE6)/12)*(1+XLOOKUP(DX$2,Assumptions!$C$94:$M$94,Assumptions!$C$97:$M$97)))</f>
        <v>22346.37277</v>
      </c>
      <c r="DY6" s="54">
        <f t="array" ref="DY6">IF(DY$2=1,Assumptions!$X6/12,(SUMIF($D$2:$EE$2,DY$2-1,$D6:$EE6)/12)*(1+XLOOKUP(DY$2,Assumptions!$C$94:$M$94,Assumptions!$C$97:$M$97)))</f>
        <v>22346.37277</v>
      </c>
      <c r="DZ6" s="54">
        <f t="array" ref="DZ6">IF(DZ$2=1,Assumptions!$X6/12,(SUMIF($D$2:$EE$2,DZ$2-1,$D6:$EE6)/12)*(1+XLOOKUP(DZ$2,Assumptions!$C$94:$M$94,Assumptions!$C$97:$M$97)))</f>
        <v>22346.37277</v>
      </c>
      <c r="EA6" s="54">
        <f t="array" ref="EA6">IF(EA$2=1,Assumptions!$X6/12,(SUMIF($D$2:$EE$2,EA$2-1,$D6:$EE6)/12)*(1+XLOOKUP(EA$2,Assumptions!$C$94:$M$94,Assumptions!$C$97:$M$97)))</f>
        <v>22346.37277</v>
      </c>
      <c r="EB6" s="54">
        <f t="array" ref="EB6">IF(EB$2=1,Assumptions!$X6/12,(SUMIF($D$2:$EE$2,EB$2-1,$D6:$EE6)/12)*(1+XLOOKUP(EB$2,Assumptions!$C$94:$M$94,Assumptions!$C$97:$M$97)))</f>
        <v>22346.37277</v>
      </c>
      <c r="EC6" s="54">
        <f t="array" ref="EC6">IF(EC$2=1,Assumptions!$X6/12,(SUMIF($D$2:$EE$2,EC$2-1,$D6:$EE6)/12)*(1+XLOOKUP(EC$2,Assumptions!$C$94:$M$94,Assumptions!$C$97:$M$97)))</f>
        <v>22346.37277</v>
      </c>
      <c r="ED6" s="54">
        <f t="array" ref="ED6">IF(ED$2=1,Assumptions!$X6/12,(SUMIF($D$2:$EE$2,ED$2-1,$D6:$EE6)/12)*(1+XLOOKUP(ED$2,Assumptions!$C$94:$M$94,Assumptions!$C$97:$M$97)))</f>
        <v>22346.37277</v>
      </c>
      <c r="EE6" s="54">
        <f t="array" ref="EE6">IF(EE$2=1,Assumptions!$X6/12,(SUMIF($D$2:$EE$2,EE$2-1,$D6:$EE6)/12)*(1+XLOOKUP(EE$2,Assumptions!$C$94:$M$94,Assumptions!$C$97:$M$97)))</f>
        <v>22346.37277</v>
      </c>
    </row>
    <row r="7" ht="15.75" customHeight="1">
      <c r="A7" s="1"/>
      <c r="B7" s="1"/>
      <c r="C7" s="1" t="str">
        <f>Assumptions!R7</f>
        <v>3x2</v>
      </c>
      <c r="D7" s="54">
        <f t="array" ref="D7">IF(D$2=1,Assumptions!$X7/12,(SUMIF($D$2:$EE$2,D$2-1,$D7:$EE7)/12)*(1+XLOOKUP(D$2,Assumptions!$C$94:$M$94,Assumptions!$C$97:$M$97)))</f>
        <v>10417.806</v>
      </c>
      <c r="E7" s="54">
        <f t="array" ref="E7">IF(E$2=1,Assumptions!$X7/12,(SUMIF($D$2:$EE$2,E$2-1,$D7:$EE7)/12)*(1+XLOOKUP(E$2,Assumptions!$C$94:$M$94,Assumptions!$C$97:$M$97)))</f>
        <v>10417.806</v>
      </c>
      <c r="F7" s="54">
        <f t="array" ref="F7">IF(F$2=1,Assumptions!$X7/12,(SUMIF($D$2:$EE$2,F$2-1,$D7:$EE7)/12)*(1+XLOOKUP(F$2,Assumptions!$C$94:$M$94,Assumptions!$C$97:$M$97)))</f>
        <v>10417.806</v>
      </c>
      <c r="G7" s="54">
        <f t="array" ref="G7">IF(G$2=1,Assumptions!$X7/12,(SUMIF($D$2:$EE$2,G$2-1,$D7:$EE7)/12)*(1+XLOOKUP(G$2,Assumptions!$C$94:$M$94,Assumptions!$C$97:$M$97)))</f>
        <v>10417.806</v>
      </c>
      <c r="H7" s="54">
        <f t="array" ref="H7">IF(H$2=1,Assumptions!$X7/12,(SUMIF($D$2:$EE$2,H$2-1,$D7:$EE7)/12)*(1+XLOOKUP(H$2,Assumptions!$C$94:$M$94,Assumptions!$C$97:$M$97)))</f>
        <v>10417.806</v>
      </c>
      <c r="I7" s="54">
        <f t="array" ref="I7">IF(I$2=1,Assumptions!$X7/12,(SUMIF($D$2:$EE$2,I$2-1,$D7:$EE7)/12)*(1+XLOOKUP(I$2,Assumptions!$C$94:$M$94,Assumptions!$C$97:$M$97)))</f>
        <v>10417.806</v>
      </c>
      <c r="J7" s="54">
        <f t="array" ref="J7">IF(J$2=1,Assumptions!$X7/12,(SUMIF($D$2:$EE$2,J$2-1,$D7:$EE7)/12)*(1+XLOOKUP(J$2,Assumptions!$C$94:$M$94,Assumptions!$C$97:$M$97)))</f>
        <v>10417.806</v>
      </c>
      <c r="K7" s="54">
        <f t="array" ref="K7">IF(K$2=1,Assumptions!$X7/12,(SUMIF($D$2:$EE$2,K$2-1,$D7:$EE7)/12)*(1+XLOOKUP(K$2,Assumptions!$C$94:$M$94,Assumptions!$C$97:$M$97)))</f>
        <v>10417.806</v>
      </c>
      <c r="L7" s="54">
        <f t="array" ref="L7">IF(L$2=1,Assumptions!$X7/12,(SUMIF($D$2:$EE$2,L$2-1,$D7:$EE7)/12)*(1+XLOOKUP(L$2,Assumptions!$C$94:$M$94,Assumptions!$C$97:$M$97)))</f>
        <v>10417.806</v>
      </c>
      <c r="M7" s="54">
        <f t="array" ref="M7">IF(M$2=1,Assumptions!$X7/12,(SUMIF($D$2:$EE$2,M$2-1,$D7:$EE7)/12)*(1+XLOOKUP(M$2,Assumptions!$C$94:$M$94,Assumptions!$C$97:$M$97)))</f>
        <v>10417.806</v>
      </c>
      <c r="N7" s="54">
        <f t="array" ref="N7">IF(N$2=1,Assumptions!$X7/12,(SUMIF($D$2:$EE$2,N$2-1,$D7:$EE7)/12)*(1+XLOOKUP(N$2,Assumptions!$C$94:$M$94,Assumptions!$C$97:$M$97)))</f>
        <v>10417.806</v>
      </c>
      <c r="O7" s="54">
        <f t="array" ref="O7">IF(O$2=1,Assumptions!$X7/12,(SUMIF($D$2:$EE$2,O$2-1,$D7:$EE7)/12)*(1+XLOOKUP(O$2,Assumptions!$C$94:$M$94,Assumptions!$C$97:$M$97)))</f>
        <v>10417.806</v>
      </c>
      <c r="P7" s="54">
        <f t="array" ref="P7">IF(P$2=1,Assumptions!$X7/12,(SUMIF($D$2:$EE$2,P$2-1,$D7:$EE7)/12)*(1+XLOOKUP(P$2,Assumptions!$C$94:$M$94,Assumptions!$C$97:$M$97)))</f>
        <v>10730.34018</v>
      </c>
      <c r="Q7" s="54">
        <f t="array" ref="Q7">IF(Q$2=1,Assumptions!$X7/12,(SUMIF($D$2:$EE$2,Q$2-1,$D7:$EE7)/12)*(1+XLOOKUP(Q$2,Assumptions!$C$94:$M$94,Assumptions!$C$97:$M$97)))</f>
        <v>10730.34018</v>
      </c>
      <c r="R7" s="54">
        <f t="array" ref="R7">IF(R$2=1,Assumptions!$X7/12,(SUMIF($D$2:$EE$2,R$2-1,$D7:$EE7)/12)*(1+XLOOKUP(R$2,Assumptions!$C$94:$M$94,Assumptions!$C$97:$M$97)))</f>
        <v>10730.34018</v>
      </c>
      <c r="S7" s="54">
        <f t="array" ref="S7">IF(S$2=1,Assumptions!$X7/12,(SUMIF($D$2:$EE$2,S$2-1,$D7:$EE7)/12)*(1+XLOOKUP(S$2,Assumptions!$C$94:$M$94,Assumptions!$C$97:$M$97)))</f>
        <v>10730.34018</v>
      </c>
      <c r="T7" s="54">
        <f t="array" ref="T7">IF(T$2=1,Assumptions!$X7/12,(SUMIF($D$2:$EE$2,T$2-1,$D7:$EE7)/12)*(1+XLOOKUP(T$2,Assumptions!$C$94:$M$94,Assumptions!$C$97:$M$97)))</f>
        <v>10730.34018</v>
      </c>
      <c r="U7" s="54">
        <f t="array" ref="U7">IF(U$2=1,Assumptions!$X7/12,(SUMIF($D$2:$EE$2,U$2-1,$D7:$EE7)/12)*(1+XLOOKUP(U$2,Assumptions!$C$94:$M$94,Assumptions!$C$97:$M$97)))</f>
        <v>10730.34018</v>
      </c>
      <c r="V7" s="54">
        <f t="array" ref="V7">IF(V$2=1,Assumptions!$X7/12,(SUMIF($D$2:$EE$2,V$2-1,$D7:$EE7)/12)*(1+XLOOKUP(V$2,Assumptions!$C$94:$M$94,Assumptions!$C$97:$M$97)))</f>
        <v>10730.34018</v>
      </c>
      <c r="W7" s="54">
        <f t="array" ref="W7">IF(W$2=1,Assumptions!$X7/12,(SUMIF($D$2:$EE$2,W$2-1,$D7:$EE7)/12)*(1+XLOOKUP(W$2,Assumptions!$C$94:$M$94,Assumptions!$C$97:$M$97)))</f>
        <v>10730.34018</v>
      </c>
      <c r="X7" s="54">
        <f t="array" ref="X7">IF(X$2=1,Assumptions!$X7/12,(SUMIF($D$2:$EE$2,X$2-1,$D7:$EE7)/12)*(1+XLOOKUP(X$2,Assumptions!$C$94:$M$94,Assumptions!$C$97:$M$97)))</f>
        <v>10730.34018</v>
      </c>
      <c r="Y7" s="54">
        <f t="array" ref="Y7">IF(Y$2=1,Assumptions!$X7/12,(SUMIF($D$2:$EE$2,Y$2-1,$D7:$EE7)/12)*(1+XLOOKUP(Y$2,Assumptions!$C$94:$M$94,Assumptions!$C$97:$M$97)))</f>
        <v>10730.34018</v>
      </c>
      <c r="Z7" s="54">
        <f t="array" ref="Z7">IF(Z$2=1,Assumptions!$X7/12,(SUMIF($D$2:$EE$2,Z$2-1,$D7:$EE7)/12)*(1+XLOOKUP(Z$2,Assumptions!$C$94:$M$94,Assumptions!$C$97:$M$97)))</f>
        <v>10730.34018</v>
      </c>
      <c r="AA7" s="54">
        <f t="array" ref="AA7">IF(AA$2=1,Assumptions!$X7/12,(SUMIF($D$2:$EE$2,AA$2-1,$D7:$EE7)/12)*(1+XLOOKUP(AA$2,Assumptions!$C$94:$M$94,Assumptions!$C$97:$M$97)))</f>
        <v>10730.34018</v>
      </c>
      <c r="AB7" s="54">
        <f t="array" ref="AB7">IF(AB$2=1,Assumptions!$X7/12,(SUMIF($D$2:$EE$2,AB$2-1,$D7:$EE7)/12)*(1+XLOOKUP(AB$2,Assumptions!$C$94:$M$94,Assumptions!$C$97:$M$97)))</f>
        <v>11052.25039</v>
      </c>
      <c r="AC7" s="54">
        <f t="array" ref="AC7">IF(AC$2=1,Assumptions!$X7/12,(SUMIF($D$2:$EE$2,AC$2-1,$D7:$EE7)/12)*(1+XLOOKUP(AC$2,Assumptions!$C$94:$M$94,Assumptions!$C$97:$M$97)))</f>
        <v>11052.25039</v>
      </c>
      <c r="AD7" s="54">
        <f t="array" ref="AD7">IF(AD$2=1,Assumptions!$X7/12,(SUMIF($D$2:$EE$2,AD$2-1,$D7:$EE7)/12)*(1+XLOOKUP(AD$2,Assumptions!$C$94:$M$94,Assumptions!$C$97:$M$97)))</f>
        <v>11052.25039</v>
      </c>
      <c r="AE7" s="54">
        <f t="array" ref="AE7">IF(AE$2=1,Assumptions!$X7/12,(SUMIF($D$2:$EE$2,AE$2-1,$D7:$EE7)/12)*(1+XLOOKUP(AE$2,Assumptions!$C$94:$M$94,Assumptions!$C$97:$M$97)))</f>
        <v>11052.25039</v>
      </c>
      <c r="AF7" s="54">
        <f t="array" ref="AF7">IF(AF$2=1,Assumptions!$X7/12,(SUMIF($D$2:$EE$2,AF$2-1,$D7:$EE7)/12)*(1+XLOOKUP(AF$2,Assumptions!$C$94:$M$94,Assumptions!$C$97:$M$97)))</f>
        <v>11052.25039</v>
      </c>
      <c r="AG7" s="54">
        <f t="array" ref="AG7">IF(AG$2=1,Assumptions!$X7/12,(SUMIF($D$2:$EE$2,AG$2-1,$D7:$EE7)/12)*(1+XLOOKUP(AG$2,Assumptions!$C$94:$M$94,Assumptions!$C$97:$M$97)))</f>
        <v>11052.25039</v>
      </c>
      <c r="AH7" s="54">
        <f t="array" ref="AH7">IF(AH$2=1,Assumptions!$X7/12,(SUMIF($D$2:$EE$2,AH$2-1,$D7:$EE7)/12)*(1+XLOOKUP(AH$2,Assumptions!$C$94:$M$94,Assumptions!$C$97:$M$97)))</f>
        <v>11052.25039</v>
      </c>
      <c r="AI7" s="54">
        <f t="array" ref="AI7">IF(AI$2=1,Assumptions!$X7/12,(SUMIF($D$2:$EE$2,AI$2-1,$D7:$EE7)/12)*(1+XLOOKUP(AI$2,Assumptions!$C$94:$M$94,Assumptions!$C$97:$M$97)))</f>
        <v>11052.25039</v>
      </c>
      <c r="AJ7" s="54">
        <f t="array" ref="AJ7">IF(AJ$2=1,Assumptions!$X7/12,(SUMIF($D$2:$EE$2,AJ$2-1,$D7:$EE7)/12)*(1+XLOOKUP(AJ$2,Assumptions!$C$94:$M$94,Assumptions!$C$97:$M$97)))</f>
        <v>11052.25039</v>
      </c>
      <c r="AK7" s="54">
        <f t="array" ref="AK7">IF(AK$2=1,Assumptions!$X7/12,(SUMIF($D$2:$EE$2,AK$2-1,$D7:$EE7)/12)*(1+XLOOKUP(AK$2,Assumptions!$C$94:$M$94,Assumptions!$C$97:$M$97)))</f>
        <v>11052.25039</v>
      </c>
      <c r="AL7" s="54">
        <f t="array" ref="AL7">IF(AL$2=1,Assumptions!$X7/12,(SUMIF($D$2:$EE$2,AL$2-1,$D7:$EE7)/12)*(1+XLOOKUP(AL$2,Assumptions!$C$94:$M$94,Assumptions!$C$97:$M$97)))</f>
        <v>11052.25039</v>
      </c>
      <c r="AM7" s="54">
        <f t="array" ref="AM7">IF(AM$2=1,Assumptions!$X7/12,(SUMIF($D$2:$EE$2,AM$2-1,$D7:$EE7)/12)*(1+XLOOKUP(AM$2,Assumptions!$C$94:$M$94,Assumptions!$C$97:$M$97)))</f>
        <v>11052.25039</v>
      </c>
      <c r="AN7" s="54">
        <f t="array" ref="AN7">IF(AN$2=1,Assumptions!$X7/12,(SUMIF($D$2:$EE$2,AN$2-1,$D7:$EE7)/12)*(1+XLOOKUP(AN$2,Assumptions!$C$94:$M$94,Assumptions!$C$97:$M$97)))</f>
        <v>11383.8179</v>
      </c>
      <c r="AO7" s="54">
        <f t="array" ref="AO7">IF(AO$2=1,Assumptions!$X7/12,(SUMIF($D$2:$EE$2,AO$2-1,$D7:$EE7)/12)*(1+XLOOKUP(AO$2,Assumptions!$C$94:$M$94,Assumptions!$C$97:$M$97)))</f>
        <v>11383.8179</v>
      </c>
      <c r="AP7" s="54">
        <f t="array" ref="AP7">IF(AP$2=1,Assumptions!$X7/12,(SUMIF($D$2:$EE$2,AP$2-1,$D7:$EE7)/12)*(1+XLOOKUP(AP$2,Assumptions!$C$94:$M$94,Assumptions!$C$97:$M$97)))</f>
        <v>11383.8179</v>
      </c>
      <c r="AQ7" s="54">
        <f t="array" ref="AQ7">IF(AQ$2=1,Assumptions!$X7/12,(SUMIF($D$2:$EE$2,AQ$2-1,$D7:$EE7)/12)*(1+XLOOKUP(AQ$2,Assumptions!$C$94:$M$94,Assumptions!$C$97:$M$97)))</f>
        <v>11383.8179</v>
      </c>
      <c r="AR7" s="54">
        <f t="array" ref="AR7">IF(AR$2=1,Assumptions!$X7/12,(SUMIF($D$2:$EE$2,AR$2-1,$D7:$EE7)/12)*(1+XLOOKUP(AR$2,Assumptions!$C$94:$M$94,Assumptions!$C$97:$M$97)))</f>
        <v>11383.8179</v>
      </c>
      <c r="AS7" s="54">
        <f t="array" ref="AS7">IF(AS$2=1,Assumptions!$X7/12,(SUMIF($D$2:$EE$2,AS$2-1,$D7:$EE7)/12)*(1+XLOOKUP(AS$2,Assumptions!$C$94:$M$94,Assumptions!$C$97:$M$97)))</f>
        <v>11383.8179</v>
      </c>
      <c r="AT7" s="54">
        <f t="array" ref="AT7">IF(AT$2=1,Assumptions!$X7/12,(SUMIF($D$2:$EE$2,AT$2-1,$D7:$EE7)/12)*(1+XLOOKUP(AT$2,Assumptions!$C$94:$M$94,Assumptions!$C$97:$M$97)))</f>
        <v>11383.8179</v>
      </c>
      <c r="AU7" s="54">
        <f t="array" ref="AU7">IF(AU$2=1,Assumptions!$X7/12,(SUMIF($D$2:$EE$2,AU$2-1,$D7:$EE7)/12)*(1+XLOOKUP(AU$2,Assumptions!$C$94:$M$94,Assumptions!$C$97:$M$97)))</f>
        <v>11383.8179</v>
      </c>
      <c r="AV7" s="54">
        <f t="array" ref="AV7">IF(AV$2=1,Assumptions!$X7/12,(SUMIF($D$2:$EE$2,AV$2-1,$D7:$EE7)/12)*(1+XLOOKUP(AV$2,Assumptions!$C$94:$M$94,Assumptions!$C$97:$M$97)))</f>
        <v>11383.8179</v>
      </c>
      <c r="AW7" s="54">
        <f t="array" ref="AW7">IF(AW$2=1,Assumptions!$X7/12,(SUMIF($D$2:$EE$2,AW$2-1,$D7:$EE7)/12)*(1+XLOOKUP(AW$2,Assumptions!$C$94:$M$94,Assumptions!$C$97:$M$97)))</f>
        <v>11383.8179</v>
      </c>
      <c r="AX7" s="54">
        <f t="array" ref="AX7">IF(AX$2=1,Assumptions!$X7/12,(SUMIF($D$2:$EE$2,AX$2-1,$D7:$EE7)/12)*(1+XLOOKUP(AX$2,Assumptions!$C$94:$M$94,Assumptions!$C$97:$M$97)))</f>
        <v>11383.8179</v>
      </c>
      <c r="AY7" s="54">
        <f t="array" ref="AY7">IF(AY$2=1,Assumptions!$X7/12,(SUMIF($D$2:$EE$2,AY$2-1,$D7:$EE7)/12)*(1+XLOOKUP(AY$2,Assumptions!$C$94:$M$94,Assumptions!$C$97:$M$97)))</f>
        <v>11383.8179</v>
      </c>
      <c r="AZ7" s="54">
        <f t="array" ref="AZ7">IF(AZ$2=1,Assumptions!$X7/12,(SUMIF($D$2:$EE$2,AZ$2-1,$D7:$EE7)/12)*(1+XLOOKUP(AZ$2,Assumptions!$C$94:$M$94,Assumptions!$C$97:$M$97)))</f>
        <v>11725.33243</v>
      </c>
      <c r="BA7" s="54">
        <f t="array" ref="BA7">IF(BA$2=1,Assumptions!$X7/12,(SUMIF($D$2:$EE$2,BA$2-1,$D7:$EE7)/12)*(1+XLOOKUP(BA$2,Assumptions!$C$94:$M$94,Assumptions!$C$97:$M$97)))</f>
        <v>11725.33243</v>
      </c>
      <c r="BB7" s="54">
        <f t="array" ref="BB7">IF(BB$2=1,Assumptions!$X7/12,(SUMIF($D$2:$EE$2,BB$2-1,$D7:$EE7)/12)*(1+XLOOKUP(BB$2,Assumptions!$C$94:$M$94,Assumptions!$C$97:$M$97)))</f>
        <v>11725.33243</v>
      </c>
      <c r="BC7" s="54">
        <f t="array" ref="BC7">IF(BC$2=1,Assumptions!$X7/12,(SUMIF($D$2:$EE$2,BC$2-1,$D7:$EE7)/12)*(1+XLOOKUP(BC$2,Assumptions!$C$94:$M$94,Assumptions!$C$97:$M$97)))</f>
        <v>11725.33243</v>
      </c>
      <c r="BD7" s="54">
        <f t="array" ref="BD7">IF(BD$2=1,Assumptions!$X7/12,(SUMIF($D$2:$EE$2,BD$2-1,$D7:$EE7)/12)*(1+XLOOKUP(BD$2,Assumptions!$C$94:$M$94,Assumptions!$C$97:$M$97)))</f>
        <v>11725.33243</v>
      </c>
      <c r="BE7" s="54">
        <f t="array" ref="BE7">IF(BE$2=1,Assumptions!$X7/12,(SUMIF($D$2:$EE$2,BE$2-1,$D7:$EE7)/12)*(1+XLOOKUP(BE$2,Assumptions!$C$94:$M$94,Assumptions!$C$97:$M$97)))</f>
        <v>11725.33243</v>
      </c>
      <c r="BF7" s="54">
        <f t="array" ref="BF7">IF(BF$2=1,Assumptions!$X7/12,(SUMIF($D$2:$EE$2,BF$2-1,$D7:$EE7)/12)*(1+XLOOKUP(BF$2,Assumptions!$C$94:$M$94,Assumptions!$C$97:$M$97)))</f>
        <v>11725.33243</v>
      </c>
      <c r="BG7" s="54">
        <f t="array" ref="BG7">IF(BG$2=1,Assumptions!$X7/12,(SUMIF($D$2:$EE$2,BG$2-1,$D7:$EE7)/12)*(1+XLOOKUP(BG$2,Assumptions!$C$94:$M$94,Assumptions!$C$97:$M$97)))</f>
        <v>11725.33243</v>
      </c>
      <c r="BH7" s="54">
        <f t="array" ref="BH7">IF(BH$2=1,Assumptions!$X7/12,(SUMIF($D$2:$EE$2,BH$2-1,$D7:$EE7)/12)*(1+XLOOKUP(BH$2,Assumptions!$C$94:$M$94,Assumptions!$C$97:$M$97)))</f>
        <v>11725.33243</v>
      </c>
      <c r="BI7" s="54">
        <f t="array" ref="BI7">IF(BI$2=1,Assumptions!$X7/12,(SUMIF($D$2:$EE$2,BI$2-1,$D7:$EE7)/12)*(1+XLOOKUP(BI$2,Assumptions!$C$94:$M$94,Assumptions!$C$97:$M$97)))</f>
        <v>11725.33243</v>
      </c>
      <c r="BJ7" s="54">
        <f t="array" ref="BJ7">IF(BJ$2=1,Assumptions!$X7/12,(SUMIF($D$2:$EE$2,BJ$2-1,$D7:$EE7)/12)*(1+XLOOKUP(BJ$2,Assumptions!$C$94:$M$94,Assumptions!$C$97:$M$97)))</f>
        <v>11725.33243</v>
      </c>
      <c r="BK7" s="54">
        <f t="array" ref="BK7">IF(BK$2=1,Assumptions!$X7/12,(SUMIF($D$2:$EE$2,BK$2-1,$D7:$EE7)/12)*(1+XLOOKUP(BK$2,Assumptions!$C$94:$M$94,Assumptions!$C$97:$M$97)))</f>
        <v>11725.33243</v>
      </c>
      <c r="BL7" s="54">
        <f t="array" ref="BL7">IF(BL$2=1,Assumptions!$X7/12,(SUMIF($D$2:$EE$2,BL$2-1,$D7:$EE7)/12)*(1+XLOOKUP(BL$2,Assumptions!$C$94:$M$94,Assumptions!$C$97:$M$97)))</f>
        <v>12077.09241</v>
      </c>
      <c r="BM7" s="54">
        <f t="array" ref="BM7">IF(BM$2=1,Assumptions!$X7/12,(SUMIF($D$2:$EE$2,BM$2-1,$D7:$EE7)/12)*(1+XLOOKUP(BM$2,Assumptions!$C$94:$M$94,Assumptions!$C$97:$M$97)))</f>
        <v>12077.09241</v>
      </c>
      <c r="BN7" s="54">
        <f t="array" ref="BN7">IF(BN$2=1,Assumptions!$X7/12,(SUMIF($D$2:$EE$2,BN$2-1,$D7:$EE7)/12)*(1+XLOOKUP(BN$2,Assumptions!$C$94:$M$94,Assumptions!$C$97:$M$97)))</f>
        <v>12077.09241</v>
      </c>
      <c r="BO7" s="54">
        <f t="array" ref="BO7">IF(BO$2=1,Assumptions!$X7/12,(SUMIF($D$2:$EE$2,BO$2-1,$D7:$EE7)/12)*(1+XLOOKUP(BO$2,Assumptions!$C$94:$M$94,Assumptions!$C$97:$M$97)))</f>
        <v>12077.09241</v>
      </c>
      <c r="BP7" s="54">
        <f t="array" ref="BP7">IF(BP$2=1,Assumptions!$X7/12,(SUMIF($D$2:$EE$2,BP$2-1,$D7:$EE7)/12)*(1+XLOOKUP(BP$2,Assumptions!$C$94:$M$94,Assumptions!$C$97:$M$97)))</f>
        <v>12077.09241</v>
      </c>
      <c r="BQ7" s="54">
        <f t="array" ref="BQ7">IF(BQ$2=1,Assumptions!$X7/12,(SUMIF($D$2:$EE$2,BQ$2-1,$D7:$EE7)/12)*(1+XLOOKUP(BQ$2,Assumptions!$C$94:$M$94,Assumptions!$C$97:$M$97)))</f>
        <v>12077.09241</v>
      </c>
      <c r="BR7" s="54">
        <f t="array" ref="BR7">IF(BR$2=1,Assumptions!$X7/12,(SUMIF($D$2:$EE$2,BR$2-1,$D7:$EE7)/12)*(1+XLOOKUP(BR$2,Assumptions!$C$94:$M$94,Assumptions!$C$97:$M$97)))</f>
        <v>12077.09241</v>
      </c>
      <c r="BS7" s="54">
        <f t="array" ref="BS7">IF(BS$2=1,Assumptions!$X7/12,(SUMIF($D$2:$EE$2,BS$2-1,$D7:$EE7)/12)*(1+XLOOKUP(BS$2,Assumptions!$C$94:$M$94,Assumptions!$C$97:$M$97)))</f>
        <v>12077.09241</v>
      </c>
      <c r="BT7" s="54">
        <f t="array" ref="BT7">IF(BT$2=1,Assumptions!$X7/12,(SUMIF($D$2:$EE$2,BT$2-1,$D7:$EE7)/12)*(1+XLOOKUP(BT$2,Assumptions!$C$94:$M$94,Assumptions!$C$97:$M$97)))</f>
        <v>12077.09241</v>
      </c>
      <c r="BU7" s="54">
        <f t="array" ref="BU7">IF(BU$2=1,Assumptions!$X7/12,(SUMIF($D$2:$EE$2,BU$2-1,$D7:$EE7)/12)*(1+XLOOKUP(BU$2,Assumptions!$C$94:$M$94,Assumptions!$C$97:$M$97)))</f>
        <v>12077.09241</v>
      </c>
      <c r="BV7" s="54">
        <f t="array" ref="BV7">IF(BV$2=1,Assumptions!$X7/12,(SUMIF($D$2:$EE$2,BV$2-1,$D7:$EE7)/12)*(1+XLOOKUP(BV$2,Assumptions!$C$94:$M$94,Assumptions!$C$97:$M$97)))</f>
        <v>12077.09241</v>
      </c>
      <c r="BW7" s="54">
        <f t="array" ref="BW7">IF(BW$2=1,Assumptions!$X7/12,(SUMIF($D$2:$EE$2,BW$2-1,$D7:$EE7)/12)*(1+XLOOKUP(BW$2,Assumptions!$C$94:$M$94,Assumptions!$C$97:$M$97)))</f>
        <v>12077.09241</v>
      </c>
      <c r="BX7" s="54">
        <f t="array" ref="BX7">IF(BX$2=1,Assumptions!$X7/12,(SUMIF($D$2:$EE$2,BX$2-1,$D7:$EE7)/12)*(1+XLOOKUP(BX$2,Assumptions!$C$94:$M$94,Assumptions!$C$97:$M$97)))</f>
        <v>12439.40518</v>
      </c>
      <c r="BY7" s="54">
        <f t="array" ref="BY7">IF(BY$2=1,Assumptions!$X7/12,(SUMIF($D$2:$EE$2,BY$2-1,$D7:$EE7)/12)*(1+XLOOKUP(BY$2,Assumptions!$C$94:$M$94,Assumptions!$C$97:$M$97)))</f>
        <v>12439.40518</v>
      </c>
      <c r="BZ7" s="54">
        <f t="array" ref="BZ7">IF(BZ$2=1,Assumptions!$X7/12,(SUMIF($D$2:$EE$2,BZ$2-1,$D7:$EE7)/12)*(1+XLOOKUP(BZ$2,Assumptions!$C$94:$M$94,Assumptions!$C$97:$M$97)))</f>
        <v>12439.40518</v>
      </c>
      <c r="CA7" s="54">
        <f t="array" ref="CA7">IF(CA$2=1,Assumptions!$X7/12,(SUMIF($D$2:$EE$2,CA$2-1,$D7:$EE7)/12)*(1+XLOOKUP(CA$2,Assumptions!$C$94:$M$94,Assumptions!$C$97:$M$97)))</f>
        <v>12439.40518</v>
      </c>
      <c r="CB7" s="54">
        <f t="array" ref="CB7">IF(CB$2=1,Assumptions!$X7/12,(SUMIF($D$2:$EE$2,CB$2-1,$D7:$EE7)/12)*(1+XLOOKUP(CB$2,Assumptions!$C$94:$M$94,Assumptions!$C$97:$M$97)))</f>
        <v>12439.40518</v>
      </c>
      <c r="CC7" s="54">
        <f t="array" ref="CC7">IF(CC$2=1,Assumptions!$X7/12,(SUMIF($D$2:$EE$2,CC$2-1,$D7:$EE7)/12)*(1+XLOOKUP(CC$2,Assumptions!$C$94:$M$94,Assumptions!$C$97:$M$97)))</f>
        <v>12439.40518</v>
      </c>
      <c r="CD7" s="54">
        <f t="array" ref="CD7">IF(CD$2=1,Assumptions!$X7/12,(SUMIF($D$2:$EE$2,CD$2-1,$D7:$EE7)/12)*(1+XLOOKUP(CD$2,Assumptions!$C$94:$M$94,Assumptions!$C$97:$M$97)))</f>
        <v>12439.40518</v>
      </c>
      <c r="CE7" s="54">
        <f t="array" ref="CE7">IF(CE$2=1,Assumptions!$X7/12,(SUMIF($D$2:$EE$2,CE$2-1,$D7:$EE7)/12)*(1+XLOOKUP(CE$2,Assumptions!$C$94:$M$94,Assumptions!$C$97:$M$97)))</f>
        <v>12439.40518</v>
      </c>
      <c r="CF7" s="54">
        <f t="array" ref="CF7">IF(CF$2=1,Assumptions!$X7/12,(SUMIF($D$2:$EE$2,CF$2-1,$D7:$EE7)/12)*(1+XLOOKUP(CF$2,Assumptions!$C$94:$M$94,Assumptions!$C$97:$M$97)))</f>
        <v>12439.40518</v>
      </c>
      <c r="CG7" s="54">
        <f t="array" ref="CG7">IF(CG$2=1,Assumptions!$X7/12,(SUMIF($D$2:$EE$2,CG$2-1,$D7:$EE7)/12)*(1+XLOOKUP(CG$2,Assumptions!$C$94:$M$94,Assumptions!$C$97:$M$97)))</f>
        <v>12439.40518</v>
      </c>
      <c r="CH7" s="54">
        <f t="array" ref="CH7">IF(CH$2=1,Assumptions!$X7/12,(SUMIF($D$2:$EE$2,CH$2-1,$D7:$EE7)/12)*(1+XLOOKUP(CH$2,Assumptions!$C$94:$M$94,Assumptions!$C$97:$M$97)))</f>
        <v>12439.40518</v>
      </c>
      <c r="CI7" s="54">
        <f t="array" ref="CI7">IF(CI$2=1,Assumptions!$X7/12,(SUMIF($D$2:$EE$2,CI$2-1,$D7:$EE7)/12)*(1+XLOOKUP(CI$2,Assumptions!$C$94:$M$94,Assumptions!$C$97:$M$97)))</f>
        <v>12439.40518</v>
      </c>
      <c r="CJ7" s="54">
        <f t="array" ref="CJ7">IF(CJ$2=1,Assumptions!$X7/12,(SUMIF($D$2:$EE$2,CJ$2-1,$D7:$EE7)/12)*(1+XLOOKUP(CJ$2,Assumptions!$C$94:$M$94,Assumptions!$C$97:$M$97)))</f>
        <v>12812.58733</v>
      </c>
      <c r="CK7" s="54">
        <f t="array" ref="CK7">IF(CK$2=1,Assumptions!$X7/12,(SUMIF($D$2:$EE$2,CK$2-1,$D7:$EE7)/12)*(1+XLOOKUP(CK$2,Assumptions!$C$94:$M$94,Assumptions!$C$97:$M$97)))</f>
        <v>12812.58733</v>
      </c>
      <c r="CL7" s="54">
        <f t="array" ref="CL7">IF(CL$2=1,Assumptions!$X7/12,(SUMIF($D$2:$EE$2,CL$2-1,$D7:$EE7)/12)*(1+XLOOKUP(CL$2,Assumptions!$C$94:$M$94,Assumptions!$C$97:$M$97)))</f>
        <v>12812.58733</v>
      </c>
      <c r="CM7" s="54">
        <f t="array" ref="CM7">IF(CM$2=1,Assumptions!$X7/12,(SUMIF($D$2:$EE$2,CM$2-1,$D7:$EE7)/12)*(1+XLOOKUP(CM$2,Assumptions!$C$94:$M$94,Assumptions!$C$97:$M$97)))</f>
        <v>12812.58733</v>
      </c>
      <c r="CN7" s="54">
        <f t="array" ref="CN7">IF(CN$2=1,Assumptions!$X7/12,(SUMIF($D$2:$EE$2,CN$2-1,$D7:$EE7)/12)*(1+XLOOKUP(CN$2,Assumptions!$C$94:$M$94,Assumptions!$C$97:$M$97)))</f>
        <v>12812.58733</v>
      </c>
      <c r="CO7" s="54">
        <f t="array" ref="CO7">IF(CO$2=1,Assumptions!$X7/12,(SUMIF($D$2:$EE$2,CO$2-1,$D7:$EE7)/12)*(1+XLOOKUP(CO$2,Assumptions!$C$94:$M$94,Assumptions!$C$97:$M$97)))</f>
        <v>12812.58733</v>
      </c>
      <c r="CP7" s="54">
        <f t="array" ref="CP7">IF(CP$2=1,Assumptions!$X7/12,(SUMIF($D$2:$EE$2,CP$2-1,$D7:$EE7)/12)*(1+XLOOKUP(CP$2,Assumptions!$C$94:$M$94,Assumptions!$C$97:$M$97)))</f>
        <v>12812.58733</v>
      </c>
      <c r="CQ7" s="54">
        <f t="array" ref="CQ7">IF(CQ$2=1,Assumptions!$X7/12,(SUMIF($D$2:$EE$2,CQ$2-1,$D7:$EE7)/12)*(1+XLOOKUP(CQ$2,Assumptions!$C$94:$M$94,Assumptions!$C$97:$M$97)))</f>
        <v>12812.58733</v>
      </c>
      <c r="CR7" s="54">
        <f t="array" ref="CR7">IF(CR$2=1,Assumptions!$X7/12,(SUMIF($D$2:$EE$2,CR$2-1,$D7:$EE7)/12)*(1+XLOOKUP(CR$2,Assumptions!$C$94:$M$94,Assumptions!$C$97:$M$97)))</f>
        <v>12812.58733</v>
      </c>
      <c r="CS7" s="54">
        <f t="array" ref="CS7">IF(CS$2=1,Assumptions!$X7/12,(SUMIF($D$2:$EE$2,CS$2-1,$D7:$EE7)/12)*(1+XLOOKUP(CS$2,Assumptions!$C$94:$M$94,Assumptions!$C$97:$M$97)))</f>
        <v>12812.58733</v>
      </c>
      <c r="CT7" s="54">
        <f t="array" ref="CT7">IF(CT$2=1,Assumptions!$X7/12,(SUMIF($D$2:$EE$2,CT$2-1,$D7:$EE7)/12)*(1+XLOOKUP(CT$2,Assumptions!$C$94:$M$94,Assumptions!$C$97:$M$97)))</f>
        <v>12812.58733</v>
      </c>
      <c r="CU7" s="54">
        <f t="array" ref="CU7">IF(CU$2=1,Assumptions!$X7/12,(SUMIF($D$2:$EE$2,CU$2-1,$D7:$EE7)/12)*(1+XLOOKUP(CU$2,Assumptions!$C$94:$M$94,Assumptions!$C$97:$M$97)))</f>
        <v>12812.58733</v>
      </c>
      <c r="CV7" s="54">
        <f t="array" ref="CV7">IF(CV$2=1,Assumptions!$X7/12,(SUMIF($D$2:$EE$2,CV$2-1,$D7:$EE7)/12)*(1+XLOOKUP(CV$2,Assumptions!$C$94:$M$94,Assumptions!$C$97:$M$97)))</f>
        <v>13196.96495</v>
      </c>
      <c r="CW7" s="54">
        <f t="array" ref="CW7">IF(CW$2=1,Assumptions!$X7/12,(SUMIF($D$2:$EE$2,CW$2-1,$D7:$EE7)/12)*(1+XLOOKUP(CW$2,Assumptions!$C$94:$M$94,Assumptions!$C$97:$M$97)))</f>
        <v>13196.96495</v>
      </c>
      <c r="CX7" s="54">
        <f t="array" ref="CX7">IF(CX$2=1,Assumptions!$X7/12,(SUMIF($D$2:$EE$2,CX$2-1,$D7:$EE7)/12)*(1+XLOOKUP(CX$2,Assumptions!$C$94:$M$94,Assumptions!$C$97:$M$97)))</f>
        <v>13196.96495</v>
      </c>
      <c r="CY7" s="54">
        <f t="array" ref="CY7">IF(CY$2=1,Assumptions!$X7/12,(SUMIF($D$2:$EE$2,CY$2-1,$D7:$EE7)/12)*(1+XLOOKUP(CY$2,Assumptions!$C$94:$M$94,Assumptions!$C$97:$M$97)))</f>
        <v>13196.96495</v>
      </c>
      <c r="CZ7" s="54">
        <f t="array" ref="CZ7">IF(CZ$2=1,Assumptions!$X7/12,(SUMIF($D$2:$EE$2,CZ$2-1,$D7:$EE7)/12)*(1+XLOOKUP(CZ$2,Assumptions!$C$94:$M$94,Assumptions!$C$97:$M$97)))</f>
        <v>13196.96495</v>
      </c>
      <c r="DA7" s="54">
        <f t="array" ref="DA7">IF(DA$2=1,Assumptions!$X7/12,(SUMIF($D$2:$EE$2,DA$2-1,$D7:$EE7)/12)*(1+XLOOKUP(DA$2,Assumptions!$C$94:$M$94,Assumptions!$C$97:$M$97)))</f>
        <v>13196.96495</v>
      </c>
      <c r="DB7" s="54">
        <f t="array" ref="DB7">IF(DB$2=1,Assumptions!$X7/12,(SUMIF($D$2:$EE$2,DB$2-1,$D7:$EE7)/12)*(1+XLOOKUP(DB$2,Assumptions!$C$94:$M$94,Assumptions!$C$97:$M$97)))</f>
        <v>13196.96495</v>
      </c>
      <c r="DC7" s="54">
        <f t="array" ref="DC7">IF(DC$2=1,Assumptions!$X7/12,(SUMIF($D$2:$EE$2,DC$2-1,$D7:$EE7)/12)*(1+XLOOKUP(DC$2,Assumptions!$C$94:$M$94,Assumptions!$C$97:$M$97)))</f>
        <v>13196.96495</v>
      </c>
      <c r="DD7" s="54">
        <f t="array" ref="DD7">IF(DD$2=1,Assumptions!$X7/12,(SUMIF($D$2:$EE$2,DD$2-1,$D7:$EE7)/12)*(1+XLOOKUP(DD$2,Assumptions!$C$94:$M$94,Assumptions!$C$97:$M$97)))</f>
        <v>13196.96495</v>
      </c>
      <c r="DE7" s="54">
        <f t="array" ref="DE7">IF(DE$2=1,Assumptions!$X7/12,(SUMIF($D$2:$EE$2,DE$2-1,$D7:$EE7)/12)*(1+XLOOKUP(DE$2,Assumptions!$C$94:$M$94,Assumptions!$C$97:$M$97)))</f>
        <v>13196.96495</v>
      </c>
      <c r="DF7" s="54">
        <f t="array" ref="DF7">IF(DF$2=1,Assumptions!$X7/12,(SUMIF($D$2:$EE$2,DF$2-1,$D7:$EE7)/12)*(1+XLOOKUP(DF$2,Assumptions!$C$94:$M$94,Assumptions!$C$97:$M$97)))</f>
        <v>13196.96495</v>
      </c>
      <c r="DG7" s="54">
        <f t="array" ref="DG7">IF(DG$2=1,Assumptions!$X7/12,(SUMIF($D$2:$EE$2,DG$2-1,$D7:$EE7)/12)*(1+XLOOKUP(DG$2,Assumptions!$C$94:$M$94,Assumptions!$C$97:$M$97)))</f>
        <v>13196.96495</v>
      </c>
      <c r="DH7" s="54">
        <f t="array" ref="DH7">IF(DH$2=1,Assumptions!$X7/12,(SUMIF($D$2:$EE$2,DH$2-1,$D7:$EE7)/12)*(1+XLOOKUP(DH$2,Assumptions!$C$94:$M$94,Assumptions!$C$97:$M$97)))</f>
        <v>13592.8739</v>
      </c>
      <c r="DI7" s="54">
        <f t="array" ref="DI7">IF(DI$2=1,Assumptions!$X7/12,(SUMIF($D$2:$EE$2,DI$2-1,$D7:$EE7)/12)*(1+XLOOKUP(DI$2,Assumptions!$C$94:$M$94,Assumptions!$C$97:$M$97)))</f>
        <v>13592.8739</v>
      </c>
      <c r="DJ7" s="54">
        <f t="array" ref="DJ7">IF(DJ$2=1,Assumptions!$X7/12,(SUMIF($D$2:$EE$2,DJ$2-1,$D7:$EE7)/12)*(1+XLOOKUP(DJ$2,Assumptions!$C$94:$M$94,Assumptions!$C$97:$M$97)))</f>
        <v>13592.8739</v>
      </c>
      <c r="DK7" s="54">
        <f t="array" ref="DK7">IF(DK$2=1,Assumptions!$X7/12,(SUMIF($D$2:$EE$2,DK$2-1,$D7:$EE7)/12)*(1+XLOOKUP(DK$2,Assumptions!$C$94:$M$94,Assumptions!$C$97:$M$97)))</f>
        <v>13592.8739</v>
      </c>
      <c r="DL7" s="54">
        <f t="array" ref="DL7">IF(DL$2=1,Assumptions!$X7/12,(SUMIF($D$2:$EE$2,DL$2-1,$D7:$EE7)/12)*(1+XLOOKUP(DL$2,Assumptions!$C$94:$M$94,Assumptions!$C$97:$M$97)))</f>
        <v>13592.8739</v>
      </c>
      <c r="DM7" s="54">
        <f t="array" ref="DM7">IF(DM$2=1,Assumptions!$X7/12,(SUMIF($D$2:$EE$2,DM$2-1,$D7:$EE7)/12)*(1+XLOOKUP(DM$2,Assumptions!$C$94:$M$94,Assumptions!$C$97:$M$97)))</f>
        <v>13592.8739</v>
      </c>
      <c r="DN7" s="54">
        <f t="array" ref="DN7">IF(DN$2=1,Assumptions!$X7/12,(SUMIF($D$2:$EE$2,DN$2-1,$D7:$EE7)/12)*(1+XLOOKUP(DN$2,Assumptions!$C$94:$M$94,Assumptions!$C$97:$M$97)))</f>
        <v>13592.8739</v>
      </c>
      <c r="DO7" s="54">
        <f t="array" ref="DO7">IF(DO$2=1,Assumptions!$X7/12,(SUMIF($D$2:$EE$2,DO$2-1,$D7:$EE7)/12)*(1+XLOOKUP(DO$2,Assumptions!$C$94:$M$94,Assumptions!$C$97:$M$97)))</f>
        <v>13592.8739</v>
      </c>
      <c r="DP7" s="54">
        <f t="array" ref="DP7">IF(DP$2=1,Assumptions!$X7/12,(SUMIF($D$2:$EE$2,DP$2-1,$D7:$EE7)/12)*(1+XLOOKUP(DP$2,Assumptions!$C$94:$M$94,Assumptions!$C$97:$M$97)))</f>
        <v>13592.8739</v>
      </c>
      <c r="DQ7" s="54">
        <f t="array" ref="DQ7">IF(DQ$2=1,Assumptions!$X7/12,(SUMIF($D$2:$EE$2,DQ$2-1,$D7:$EE7)/12)*(1+XLOOKUP(DQ$2,Assumptions!$C$94:$M$94,Assumptions!$C$97:$M$97)))</f>
        <v>13592.8739</v>
      </c>
      <c r="DR7" s="54">
        <f t="array" ref="DR7">IF(DR$2=1,Assumptions!$X7/12,(SUMIF($D$2:$EE$2,DR$2-1,$D7:$EE7)/12)*(1+XLOOKUP(DR$2,Assumptions!$C$94:$M$94,Assumptions!$C$97:$M$97)))</f>
        <v>13592.8739</v>
      </c>
      <c r="DS7" s="54">
        <f t="array" ref="DS7">IF(DS$2=1,Assumptions!$X7/12,(SUMIF($D$2:$EE$2,DS$2-1,$D7:$EE7)/12)*(1+XLOOKUP(DS$2,Assumptions!$C$94:$M$94,Assumptions!$C$97:$M$97)))</f>
        <v>13592.8739</v>
      </c>
      <c r="DT7" s="54">
        <f t="array" ref="DT7">IF(DT$2=1,Assumptions!$X7/12,(SUMIF($D$2:$EE$2,DT$2-1,$D7:$EE7)/12)*(1+XLOOKUP(DT$2,Assumptions!$C$94:$M$94,Assumptions!$C$97:$M$97)))</f>
        <v>14000.66012</v>
      </c>
      <c r="DU7" s="54">
        <f t="array" ref="DU7">IF(DU$2=1,Assumptions!$X7/12,(SUMIF($D$2:$EE$2,DU$2-1,$D7:$EE7)/12)*(1+XLOOKUP(DU$2,Assumptions!$C$94:$M$94,Assumptions!$C$97:$M$97)))</f>
        <v>14000.66012</v>
      </c>
      <c r="DV7" s="54">
        <f t="array" ref="DV7">IF(DV$2=1,Assumptions!$X7/12,(SUMIF($D$2:$EE$2,DV$2-1,$D7:$EE7)/12)*(1+XLOOKUP(DV$2,Assumptions!$C$94:$M$94,Assumptions!$C$97:$M$97)))</f>
        <v>14000.66012</v>
      </c>
      <c r="DW7" s="54">
        <f t="array" ref="DW7">IF(DW$2=1,Assumptions!$X7/12,(SUMIF($D$2:$EE$2,DW$2-1,$D7:$EE7)/12)*(1+XLOOKUP(DW$2,Assumptions!$C$94:$M$94,Assumptions!$C$97:$M$97)))</f>
        <v>14000.66012</v>
      </c>
      <c r="DX7" s="54">
        <f t="array" ref="DX7">IF(DX$2=1,Assumptions!$X7/12,(SUMIF($D$2:$EE$2,DX$2-1,$D7:$EE7)/12)*(1+XLOOKUP(DX$2,Assumptions!$C$94:$M$94,Assumptions!$C$97:$M$97)))</f>
        <v>14000.66012</v>
      </c>
      <c r="DY7" s="54">
        <f t="array" ref="DY7">IF(DY$2=1,Assumptions!$X7/12,(SUMIF($D$2:$EE$2,DY$2-1,$D7:$EE7)/12)*(1+XLOOKUP(DY$2,Assumptions!$C$94:$M$94,Assumptions!$C$97:$M$97)))</f>
        <v>14000.66012</v>
      </c>
      <c r="DZ7" s="54">
        <f t="array" ref="DZ7">IF(DZ$2=1,Assumptions!$X7/12,(SUMIF($D$2:$EE$2,DZ$2-1,$D7:$EE7)/12)*(1+XLOOKUP(DZ$2,Assumptions!$C$94:$M$94,Assumptions!$C$97:$M$97)))</f>
        <v>14000.66012</v>
      </c>
      <c r="EA7" s="54">
        <f t="array" ref="EA7">IF(EA$2=1,Assumptions!$X7/12,(SUMIF($D$2:$EE$2,EA$2-1,$D7:$EE7)/12)*(1+XLOOKUP(EA$2,Assumptions!$C$94:$M$94,Assumptions!$C$97:$M$97)))</f>
        <v>14000.66012</v>
      </c>
      <c r="EB7" s="54">
        <f t="array" ref="EB7">IF(EB$2=1,Assumptions!$X7/12,(SUMIF($D$2:$EE$2,EB$2-1,$D7:$EE7)/12)*(1+XLOOKUP(EB$2,Assumptions!$C$94:$M$94,Assumptions!$C$97:$M$97)))</f>
        <v>14000.66012</v>
      </c>
      <c r="EC7" s="54">
        <f t="array" ref="EC7">IF(EC$2=1,Assumptions!$X7/12,(SUMIF($D$2:$EE$2,EC$2-1,$D7:$EE7)/12)*(1+XLOOKUP(EC$2,Assumptions!$C$94:$M$94,Assumptions!$C$97:$M$97)))</f>
        <v>14000.66012</v>
      </c>
      <c r="ED7" s="54">
        <f t="array" ref="ED7">IF(ED$2=1,Assumptions!$X7/12,(SUMIF($D$2:$EE$2,ED$2-1,$D7:$EE7)/12)*(1+XLOOKUP(ED$2,Assumptions!$C$94:$M$94,Assumptions!$C$97:$M$97)))</f>
        <v>14000.66012</v>
      </c>
      <c r="EE7" s="54">
        <f t="array" ref="EE7">IF(EE$2=1,Assumptions!$X7/12,(SUMIF($D$2:$EE$2,EE$2-1,$D7:$EE7)/12)*(1+XLOOKUP(EE$2,Assumptions!$C$94:$M$94,Assumptions!$C$97:$M$97)))</f>
        <v>14000.66012</v>
      </c>
    </row>
    <row r="8" ht="15.75" customHeight="1">
      <c r="A8" s="1"/>
      <c r="B8" s="1"/>
      <c r="C8" s="1" t="str">
        <f>Assumptions!R8</f>
        <v>3x3</v>
      </c>
      <c r="D8" s="54">
        <f t="array" ref="D8">IF(D$2=1,Assumptions!$X8/12,(SUMIF($D$2:$EE$2,D$2-1,$D8:$EE8)/12)*(1+XLOOKUP(D$2,Assumptions!$C$94:$M$94,Assumptions!$C$97:$M$97)))</f>
        <v>22385.916</v>
      </c>
      <c r="E8" s="54">
        <f t="array" ref="E8">IF(E$2=1,Assumptions!$X8/12,(SUMIF($D$2:$EE$2,E$2-1,$D8:$EE8)/12)*(1+XLOOKUP(E$2,Assumptions!$C$94:$M$94,Assumptions!$C$97:$M$97)))</f>
        <v>22385.916</v>
      </c>
      <c r="F8" s="54">
        <f t="array" ref="F8">IF(F$2=1,Assumptions!$X8/12,(SUMIF($D$2:$EE$2,F$2-1,$D8:$EE8)/12)*(1+XLOOKUP(F$2,Assumptions!$C$94:$M$94,Assumptions!$C$97:$M$97)))</f>
        <v>22385.916</v>
      </c>
      <c r="G8" s="54">
        <f t="array" ref="G8">IF(G$2=1,Assumptions!$X8/12,(SUMIF($D$2:$EE$2,G$2-1,$D8:$EE8)/12)*(1+XLOOKUP(G$2,Assumptions!$C$94:$M$94,Assumptions!$C$97:$M$97)))</f>
        <v>22385.916</v>
      </c>
      <c r="H8" s="54">
        <f t="array" ref="H8">IF(H$2=1,Assumptions!$X8/12,(SUMIF($D$2:$EE$2,H$2-1,$D8:$EE8)/12)*(1+XLOOKUP(H$2,Assumptions!$C$94:$M$94,Assumptions!$C$97:$M$97)))</f>
        <v>22385.916</v>
      </c>
      <c r="I8" s="54">
        <f t="array" ref="I8">IF(I$2=1,Assumptions!$X8/12,(SUMIF($D$2:$EE$2,I$2-1,$D8:$EE8)/12)*(1+XLOOKUP(I$2,Assumptions!$C$94:$M$94,Assumptions!$C$97:$M$97)))</f>
        <v>22385.916</v>
      </c>
      <c r="J8" s="54">
        <f t="array" ref="J8">IF(J$2=1,Assumptions!$X8/12,(SUMIF($D$2:$EE$2,J$2-1,$D8:$EE8)/12)*(1+XLOOKUP(J$2,Assumptions!$C$94:$M$94,Assumptions!$C$97:$M$97)))</f>
        <v>22385.916</v>
      </c>
      <c r="K8" s="54">
        <f t="array" ref="K8">IF(K$2=1,Assumptions!$X8/12,(SUMIF($D$2:$EE$2,K$2-1,$D8:$EE8)/12)*(1+XLOOKUP(K$2,Assumptions!$C$94:$M$94,Assumptions!$C$97:$M$97)))</f>
        <v>22385.916</v>
      </c>
      <c r="L8" s="54">
        <f t="array" ref="L8">IF(L$2=1,Assumptions!$X8/12,(SUMIF($D$2:$EE$2,L$2-1,$D8:$EE8)/12)*(1+XLOOKUP(L$2,Assumptions!$C$94:$M$94,Assumptions!$C$97:$M$97)))</f>
        <v>22385.916</v>
      </c>
      <c r="M8" s="54">
        <f t="array" ref="M8">IF(M$2=1,Assumptions!$X8/12,(SUMIF($D$2:$EE$2,M$2-1,$D8:$EE8)/12)*(1+XLOOKUP(M$2,Assumptions!$C$94:$M$94,Assumptions!$C$97:$M$97)))</f>
        <v>22385.916</v>
      </c>
      <c r="N8" s="54">
        <f t="array" ref="N8">IF(N$2=1,Assumptions!$X8/12,(SUMIF($D$2:$EE$2,N$2-1,$D8:$EE8)/12)*(1+XLOOKUP(N$2,Assumptions!$C$94:$M$94,Assumptions!$C$97:$M$97)))</f>
        <v>22385.916</v>
      </c>
      <c r="O8" s="54">
        <f t="array" ref="O8">IF(O$2=1,Assumptions!$X8/12,(SUMIF($D$2:$EE$2,O$2-1,$D8:$EE8)/12)*(1+XLOOKUP(O$2,Assumptions!$C$94:$M$94,Assumptions!$C$97:$M$97)))</f>
        <v>22385.916</v>
      </c>
      <c r="P8" s="54">
        <f t="array" ref="P8">IF(P$2=1,Assumptions!$X8/12,(SUMIF($D$2:$EE$2,P$2-1,$D8:$EE8)/12)*(1+XLOOKUP(P$2,Assumptions!$C$94:$M$94,Assumptions!$C$97:$M$97)))</f>
        <v>23057.49348</v>
      </c>
      <c r="Q8" s="54">
        <f t="array" ref="Q8">IF(Q$2=1,Assumptions!$X8/12,(SUMIF($D$2:$EE$2,Q$2-1,$D8:$EE8)/12)*(1+XLOOKUP(Q$2,Assumptions!$C$94:$M$94,Assumptions!$C$97:$M$97)))</f>
        <v>23057.49348</v>
      </c>
      <c r="R8" s="54">
        <f t="array" ref="R8">IF(R$2=1,Assumptions!$X8/12,(SUMIF($D$2:$EE$2,R$2-1,$D8:$EE8)/12)*(1+XLOOKUP(R$2,Assumptions!$C$94:$M$94,Assumptions!$C$97:$M$97)))</f>
        <v>23057.49348</v>
      </c>
      <c r="S8" s="54">
        <f t="array" ref="S8">IF(S$2=1,Assumptions!$X8/12,(SUMIF($D$2:$EE$2,S$2-1,$D8:$EE8)/12)*(1+XLOOKUP(S$2,Assumptions!$C$94:$M$94,Assumptions!$C$97:$M$97)))</f>
        <v>23057.49348</v>
      </c>
      <c r="T8" s="54">
        <f t="array" ref="T8">IF(T$2=1,Assumptions!$X8/12,(SUMIF($D$2:$EE$2,T$2-1,$D8:$EE8)/12)*(1+XLOOKUP(T$2,Assumptions!$C$94:$M$94,Assumptions!$C$97:$M$97)))</f>
        <v>23057.49348</v>
      </c>
      <c r="U8" s="54">
        <f t="array" ref="U8">IF(U$2=1,Assumptions!$X8/12,(SUMIF($D$2:$EE$2,U$2-1,$D8:$EE8)/12)*(1+XLOOKUP(U$2,Assumptions!$C$94:$M$94,Assumptions!$C$97:$M$97)))</f>
        <v>23057.49348</v>
      </c>
      <c r="V8" s="54">
        <f t="array" ref="V8">IF(V$2=1,Assumptions!$X8/12,(SUMIF($D$2:$EE$2,V$2-1,$D8:$EE8)/12)*(1+XLOOKUP(V$2,Assumptions!$C$94:$M$94,Assumptions!$C$97:$M$97)))</f>
        <v>23057.49348</v>
      </c>
      <c r="W8" s="54">
        <f t="array" ref="W8">IF(W$2=1,Assumptions!$X8/12,(SUMIF($D$2:$EE$2,W$2-1,$D8:$EE8)/12)*(1+XLOOKUP(W$2,Assumptions!$C$94:$M$94,Assumptions!$C$97:$M$97)))</f>
        <v>23057.49348</v>
      </c>
      <c r="X8" s="54">
        <f t="array" ref="X8">IF(X$2=1,Assumptions!$X8/12,(SUMIF($D$2:$EE$2,X$2-1,$D8:$EE8)/12)*(1+XLOOKUP(X$2,Assumptions!$C$94:$M$94,Assumptions!$C$97:$M$97)))</f>
        <v>23057.49348</v>
      </c>
      <c r="Y8" s="54">
        <f t="array" ref="Y8">IF(Y$2=1,Assumptions!$X8/12,(SUMIF($D$2:$EE$2,Y$2-1,$D8:$EE8)/12)*(1+XLOOKUP(Y$2,Assumptions!$C$94:$M$94,Assumptions!$C$97:$M$97)))</f>
        <v>23057.49348</v>
      </c>
      <c r="Z8" s="54">
        <f t="array" ref="Z8">IF(Z$2=1,Assumptions!$X8/12,(SUMIF($D$2:$EE$2,Z$2-1,$D8:$EE8)/12)*(1+XLOOKUP(Z$2,Assumptions!$C$94:$M$94,Assumptions!$C$97:$M$97)))</f>
        <v>23057.49348</v>
      </c>
      <c r="AA8" s="54">
        <f t="array" ref="AA8">IF(AA$2=1,Assumptions!$X8/12,(SUMIF($D$2:$EE$2,AA$2-1,$D8:$EE8)/12)*(1+XLOOKUP(AA$2,Assumptions!$C$94:$M$94,Assumptions!$C$97:$M$97)))</f>
        <v>23057.49348</v>
      </c>
      <c r="AB8" s="54">
        <f t="array" ref="AB8">IF(AB$2=1,Assumptions!$X8/12,(SUMIF($D$2:$EE$2,AB$2-1,$D8:$EE8)/12)*(1+XLOOKUP(AB$2,Assumptions!$C$94:$M$94,Assumptions!$C$97:$M$97)))</f>
        <v>23749.21828</v>
      </c>
      <c r="AC8" s="54">
        <f t="array" ref="AC8">IF(AC$2=1,Assumptions!$X8/12,(SUMIF($D$2:$EE$2,AC$2-1,$D8:$EE8)/12)*(1+XLOOKUP(AC$2,Assumptions!$C$94:$M$94,Assumptions!$C$97:$M$97)))</f>
        <v>23749.21828</v>
      </c>
      <c r="AD8" s="54">
        <f t="array" ref="AD8">IF(AD$2=1,Assumptions!$X8/12,(SUMIF($D$2:$EE$2,AD$2-1,$D8:$EE8)/12)*(1+XLOOKUP(AD$2,Assumptions!$C$94:$M$94,Assumptions!$C$97:$M$97)))</f>
        <v>23749.21828</v>
      </c>
      <c r="AE8" s="54">
        <f t="array" ref="AE8">IF(AE$2=1,Assumptions!$X8/12,(SUMIF($D$2:$EE$2,AE$2-1,$D8:$EE8)/12)*(1+XLOOKUP(AE$2,Assumptions!$C$94:$M$94,Assumptions!$C$97:$M$97)))</f>
        <v>23749.21828</v>
      </c>
      <c r="AF8" s="54">
        <f t="array" ref="AF8">IF(AF$2=1,Assumptions!$X8/12,(SUMIF($D$2:$EE$2,AF$2-1,$D8:$EE8)/12)*(1+XLOOKUP(AF$2,Assumptions!$C$94:$M$94,Assumptions!$C$97:$M$97)))</f>
        <v>23749.21828</v>
      </c>
      <c r="AG8" s="54">
        <f t="array" ref="AG8">IF(AG$2=1,Assumptions!$X8/12,(SUMIF($D$2:$EE$2,AG$2-1,$D8:$EE8)/12)*(1+XLOOKUP(AG$2,Assumptions!$C$94:$M$94,Assumptions!$C$97:$M$97)))</f>
        <v>23749.21828</v>
      </c>
      <c r="AH8" s="54">
        <f t="array" ref="AH8">IF(AH$2=1,Assumptions!$X8/12,(SUMIF($D$2:$EE$2,AH$2-1,$D8:$EE8)/12)*(1+XLOOKUP(AH$2,Assumptions!$C$94:$M$94,Assumptions!$C$97:$M$97)))</f>
        <v>23749.21828</v>
      </c>
      <c r="AI8" s="54">
        <f t="array" ref="AI8">IF(AI$2=1,Assumptions!$X8/12,(SUMIF($D$2:$EE$2,AI$2-1,$D8:$EE8)/12)*(1+XLOOKUP(AI$2,Assumptions!$C$94:$M$94,Assumptions!$C$97:$M$97)))</f>
        <v>23749.21828</v>
      </c>
      <c r="AJ8" s="54">
        <f t="array" ref="AJ8">IF(AJ$2=1,Assumptions!$X8/12,(SUMIF($D$2:$EE$2,AJ$2-1,$D8:$EE8)/12)*(1+XLOOKUP(AJ$2,Assumptions!$C$94:$M$94,Assumptions!$C$97:$M$97)))</f>
        <v>23749.21828</v>
      </c>
      <c r="AK8" s="54">
        <f t="array" ref="AK8">IF(AK$2=1,Assumptions!$X8/12,(SUMIF($D$2:$EE$2,AK$2-1,$D8:$EE8)/12)*(1+XLOOKUP(AK$2,Assumptions!$C$94:$M$94,Assumptions!$C$97:$M$97)))</f>
        <v>23749.21828</v>
      </c>
      <c r="AL8" s="54">
        <f t="array" ref="AL8">IF(AL$2=1,Assumptions!$X8/12,(SUMIF($D$2:$EE$2,AL$2-1,$D8:$EE8)/12)*(1+XLOOKUP(AL$2,Assumptions!$C$94:$M$94,Assumptions!$C$97:$M$97)))</f>
        <v>23749.21828</v>
      </c>
      <c r="AM8" s="54">
        <f t="array" ref="AM8">IF(AM$2=1,Assumptions!$X8/12,(SUMIF($D$2:$EE$2,AM$2-1,$D8:$EE8)/12)*(1+XLOOKUP(AM$2,Assumptions!$C$94:$M$94,Assumptions!$C$97:$M$97)))</f>
        <v>23749.21828</v>
      </c>
      <c r="AN8" s="54">
        <f t="array" ref="AN8">IF(AN$2=1,Assumptions!$X8/12,(SUMIF($D$2:$EE$2,AN$2-1,$D8:$EE8)/12)*(1+XLOOKUP(AN$2,Assumptions!$C$94:$M$94,Assumptions!$C$97:$M$97)))</f>
        <v>24461.69483</v>
      </c>
      <c r="AO8" s="54">
        <f t="array" ref="AO8">IF(AO$2=1,Assumptions!$X8/12,(SUMIF($D$2:$EE$2,AO$2-1,$D8:$EE8)/12)*(1+XLOOKUP(AO$2,Assumptions!$C$94:$M$94,Assumptions!$C$97:$M$97)))</f>
        <v>24461.69483</v>
      </c>
      <c r="AP8" s="54">
        <f t="array" ref="AP8">IF(AP$2=1,Assumptions!$X8/12,(SUMIF($D$2:$EE$2,AP$2-1,$D8:$EE8)/12)*(1+XLOOKUP(AP$2,Assumptions!$C$94:$M$94,Assumptions!$C$97:$M$97)))</f>
        <v>24461.69483</v>
      </c>
      <c r="AQ8" s="54">
        <f t="array" ref="AQ8">IF(AQ$2=1,Assumptions!$X8/12,(SUMIF($D$2:$EE$2,AQ$2-1,$D8:$EE8)/12)*(1+XLOOKUP(AQ$2,Assumptions!$C$94:$M$94,Assumptions!$C$97:$M$97)))</f>
        <v>24461.69483</v>
      </c>
      <c r="AR8" s="54">
        <f t="array" ref="AR8">IF(AR$2=1,Assumptions!$X8/12,(SUMIF($D$2:$EE$2,AR$2-1,$D8:$EE8)/12)*(1+XLOOKUP(AR$2,Assumptions!$C$94:$M$94,Assumptions!$C$97:$M$97)))</f>
        <v>24461.69483</v>
      </c>
      <c r="AS8" s="54">
        <f t="array" ref="AS8">IF(AS$2=1,Assumptions!$X8/12,(SUMIF($D$2:$EE$2,AS$2-1,$D8:$EE8)/12)*(1+XLOOKUP(AS$2,Assumptions!$C$94:$M$94,Assumptions!$C$97:$M$97)))</f>
        <v>24461.69483</v>
      </c>
      <c r="AT8" s="54">
        <f t="array" ref="AT8">IF(AT$2=1,Assumptions!$X8/12,(SUMIF($D$2:$EE$2,AT$2-1,$D8:$EE8)/12)*(1+XLOOKUP(AT$2,Assumptions!$C$94:$M$94,Assumptions!$C$97:$M$97)))</f>
        <v>24461.69483</v>
      </c>
      <c r="AU8" s="54">
        <f t="array" ref="AU8">IF(AU$2=1,Assumptions!$X8/12,(SUMIF($D$2:$EE$2,AU$2-1,$D8:$EE8)/12)*(1+XLOOKUP(AU$2,Assumptions!$C$94:$M$94,Assumptions!$C$97:$M$97)))</f>
        <v>24461.69483</v>
      </c>
      <c r="AV8" s="54">
        <f t="array" ref="AV8">IF(AV$2=1,Assumptions!$X8/12,(SUMIF($D$2:$EE$2,AV$2-1,$D8:$EE8)/12)*(1+XLOOKUP(AV$2,Assumptions!$C$94:$M$94,Assumptions!$C$97:$M$97)))</f>
        <v>24461.69483</v>
      </c>
      <c r="AW8" s="54">
        <f t="array" ref="AW8">IF(AW$2=1,Assumptions!$X8/12,(SUMIF($D$2:$EE$2,AW$2-1,$D8:$EE8)/12)*(1+XLOOKUP(AW$2,Assumptions!$C$94:$M$94,Assumptions!$C$97:$M$97)))</f>
        <v>24461.69483</v>
      </c>
      <c r="AX8" s="54">
        <f t="array" ref="AX8">IF(AX$2=1,Assumptions!$X8/12,(SUMIF($D$2:$EE$2,AX$2-1,$D8:$EE8)/12)*(1+XLOOKUP(AX$2,Assumptions!$C$94:$M$94,Assumptions!$C$97:$M$97)))</f>
        <v>24461.69483</v>
      </c>
      <c r="AY8" s="54">
        <f t="array" ref="AY8">IF(AY$2=1,Assumptions!$X8/12,(SUMIF($D$2:$EE$2,AY$2-1,$D8:$EE8)/12)*(1+XLOOKUP(AY$2,Assumptions!$C$94:$M$94,Assumptions!$C$97:$M$97)))</f>
        <v>24461.69483</v>
      </c>
      <c r="AZ8" s="54">
        <f t="array" ref="AZ8">IF(AZ$2=1,Assumptions!$X8/12,(SUMIF($D$2:$EE$2,AZ$2-1,$D8:$EE8)/12)*(1+XLOOKUP(AZ$2,Assumptions!$C$94:$M$94,Assumptions!$C$97:$M$97)))</f>
        <v>25195.54568</v>
      </c>
      <c r="BA8" s="54">
        <f t="array" ref="BA8">IF(BA$2=1,Assumptions!$X8/12,(SUMIF($D$2:$EE$2,BA$2-1,$D8:$EE8)/12)*(1+XLOOKUP(BA$2,Assumptions!$C$94:$M$94,Assumptions!$C$97:$M$97)))</f>
        <v>25195.54568</v>
      </c>
      <c r="BB8" s="54">
        <f t="array" ref="BB8">IF(BB$2=1,Assumptions!$X8/12,(SUMIF($D$2:$EE$2,BB$2-1,$D8:$EE8)/12)*(1+XLOOKUP(BB$2,Assumptions!$C$94:$M$94,Assumptions!$C$97:$M$97)))</f>
        <v>25195.54568</v>
      </c>
      <c r="BC8" s="54">
        <f t="array" ref="BC8">IF(BC$2=1,Assumptions!$X8/12,(SUMIF($D$2:$EE$2,BC$2-1,$D8:$EE8)/12)*(1+XLOOKUP(BC$2,Assumptions!$C$94:$M$94,Assumptions!$C$97:$M$97)))</f>
        <v>25195.54568</v>
      </c>
      <c r="BD8" s="54">
        <f t="array" ref="BD8">IF(BD$2=1,Assumptions!$X8/12,(SUMIF($D$2:$EE$2,BD$2-1,$D8:$EE8)/12)*(1+XLOOKUP(BD$2,Assumptions!$C$94:$M$94,Assumptions!$C$97:$M$97)))</f>
        <v>25195.54568</v>
      </c>
      <c r="BE8" s="54">
        <f t="array" ref="BE8">IF(BE$2=1,Assumptions!$X8/12,(SUMIF($D$2:$EE$2,BE$2-1,$D8:$EE8)/12)*(1+XLOOKUP(BE$2,Assumptions!$C$94:$M$94,Assumptions!$C$97:$M$97)))</f>
        <v>25195.54568</v>
      </c>
      <c r="BF8" s="54">
        <f t="array" ref="BF8">IF(BF$2=1,Assumptions!$X8/12,(SUMIF($D$2:$EE$2,BF$2-1,$D8:$EE8)/12)*(1+XLOOKUP(BF$2,Assumptions!$C$94:$M$94,Assumptions!$C$97:$M$97)))</f>
        <v>25195.54568</v>
      </c>
      <c r="BG8" s="54">
        <f t="array" ref="BG8">IF(BG$2=1,Assumptions!$X8/12,(SUMIF($D$2:$EE$2,BG$2-1,$D8:$EE8)/12)*(1+XLOOKUP(BG$2,Assumptions!$C$94:$M$94,Assumptions!$C$97:$M$97)))</f>
        <v>25195.54568</v>
      </c>
      <c r="BH8" s="54">
        <f t="array" ref="BH8">IF(BH$2=1,Assumptions!$X8/12,(SUMIF($D$2:$EE$2,BH$2-1,$D8:$EE8)/12)*(1+XLOOKUP(BH$2,Assumptions!$C$94:$M$94,Assumptions!$C$97:$M$97)))</f>
        <v>25195.54568</v>
      </c>
      <c r="BI8" s="54">
        <f t="array" ref="BI8">IF(BI$2=1,Assumptions!$X8/12,(SUMIF($D$2:$EE$2,BI$2-1,$D8:$EE8)/12)*(1+XLOOKUP(BI$2,Assumptions!$C$94:$M$94,Assumptions!$C$97:$M$97)))</f>
        <v>25195.54568</v>
      </c>
      <c r="BJ8" s="54">
        <f t="array" ref="BJ8">IF(BJ$2=1,Assumptions!$X8/12,(SUMIF($D$2:$EE$2,BJ$2-1,$D8:$EE8)/12)*(1+XLOOKUP(BJ$2,Assumptions!$C$94:$M$94,Assumptions!$C$97:$M$97)))</f>
        <v>25195.54568</v>
      </c>
      <c r="BK8" s="54">
        <f t="array" ref="BK8">IF(BK$2=1,Assumptions!$X8/12,(SUMIF($D$2:$EE$2,BK$2-1,$D8:$EE8)/12)*(1+XLOOKUP(BK$2,Assumptions!$C$94:$M$94,Assumptions!$C$97:$M$97)))</f>
        <v>25195.54568</v>
      </c>
      <c r="BL8" s="54">
        <f t="array" ref="BL8">IF(BL$2=1,Assumptions!$X8/12,(SUMIF($D$2:$EE$2,BL$2-1,$D8:$EE8)/12)*(1+XLOOKUP(BL$2,Assumptions!$C$94:$M$94,Assumptions!$C$97:$M$97)))</f>
        <v>25951.41205</v>
      </c>
      <c r="BM8" s="54">
        <f t="array" ref="BM8">IF(BM$2=1,Assumptions!$X8/12,(SUMIF($D$2:$EE$2,BM$2-1,$D8:$EE8)/12)*(1+XLOOKUP(BM$2,Assumptions!$C$94:$M$94,Assumptions!$C$97:$M$97)))</f>
        <v>25951.41205</v>
      </c>
      <c r="BN8" s="54">
        <f t="array" ref="BN8">IF(BN$2=1,Assumptions!$X8/12,(SUMIF($D$2:$EE$2,BN$2-1,$D8:$EE8)/12)*(1+XLOOKUP(BN$2,Assumptions!$C$94:$M$94,Assumptions!$C$97:$M$97)))</f>
        <v>25951.41205</v>
      </c>
      <c r="BO8" s="54">
        <f t="array" ref="BO8">IF(BO$2=1,Assumptions!$X8/12,(SUMIF($D$2:$EE$2,BO$2-1,$D8:$EE8)/12)*(1+XLOOKUP(BO$2,Assumptions!$C$94:$M$94,Assumptions!$C$97:$M$97)))</f>
        <v>25951.41205</v>
      </c>
      <c r="BP8" s="54">
        <f t="array" ref="BP8">IF(BP$2=1,Assumptions!$X8/12,(SUMIF($D$2:$EE$2,BP$2-1,$D8:$EE8)/12)*(1+XLOOKUP(BP$2,Assumptions!$C$94:$M$94,Assumptions!$C$97:$M$97)))</f>
        <v>25951.41205</v>
      </c>
      <c r="BQ8" s="54">
        <f t="array" ref="BQ8">IF(BQ$2=1,Assumptions!$X8/12,(SUMIF($D$2:$EE$2,BQ$2-1,$D8:$EE8)/12)*(1+XLOOKUP(BQ$2,Assumptions!$C$94:$M$94,Assumptions!$C$97:$M$97)))</f>
        <v>25951.41205</v>
      </c>
      <c r="BR8" s="54">
        <f t="array" ref="BR8">IF(BR$2=1,Assumptions!$X8/12,(SUMIF($D$2:$EE$2,BR$2-1,$D8:$EE8)/12)*(1+XLOOKUP(BR$2,Assumptions!$C$94:$M$94,Assumptions!$C$97:$M$97)))</f>
        <v>25951.41205</v>
      </c>
      <c r="BS8" s="54">
        <f t="array" ref="BS8">IF(BS$2=1,Assumptions!$X8/12,(SUMIF($D$2:$EE$2,BS$2-1,$D8:$EE8)/12)*(1+XLOOKUP(BS$2,Assumptions!$C$94:$M$94,Assumptions!$C$97:$M$97)))</f>
        <v>25951.41205</v>
      </c>
      <c r="BT8" s="54">
        <f t="array" ref="BT8">IF(BT$2=1,Assumptions!$X8/12,(SUMIF($D$2:$EE$2,BT$2-1,$D8:$EE8)/12)*(1+XLOOKUP(BT$2,Assumptions!$C$94:$M$94,Assumptions!$C$97:$M$97)))</f>
        <v>25951.41205</v>
      </c>
      <c r="BU8" s="54">
        <f t="array" ref="BU8">IF(BU$2=1,Assumptions!$X8/12,(SUMIF($D$2:$EE$2,BU$2-1,$D8:$EE8)/12)*(1+XLOOKUP(BU$2,Assumptions!$C$94:$M$94,Assumptions!$C$97:$M$97)))</f>
        <v>25951.41205</v>
      </c>
      <c r="BV8" s="54">
        <f t="array" ref="BV8">IF(BV$2=1,Assumptions!$X8/12,(SUMIF($D$2:$EE$2,BV$2-1,$D8:$EE8)/12)*(1+XLOOKUP(BV$2,Assumptions!$C$94:$M$94,Assumptions!$C$97:$M$97)))</f>
        <v>25951.41205</v>
      </c>
      <c r="BW8" s="54">
        <f t="array" ref="BW8">IF(BW$2=1,Assumptions!$X8/12,(SUMIF($D$2:$EE$2,BW$2-1,$D8:$EE8)/12)*(1+XLOOKUP(BW$2,Assumptions!$C$94:$M$94,Assumptions!$C$97:$M$97)))</f>
        <v>25951.41205</v>
      </c>
      <c r="BX8" s="54">
        <f t="array" ref="BX8">IF(BX$2=1,Assumptions!$X8/12,(SUMIF($D$2:$EE$2,BX$2-1,$D8:$EE8)/12)*(1+XLOOKUP(BX$2,Assumptions!$C$94:$M$94,Assumptions!$C$97:$M$97)))</f>
        <v>26729.95441</v>
      </c>
      <c r="BY8" s="54">
        <f t="array" ref="BY8">IF(BY$2=1,Assumptions!$X8/12,(SUMIF($D$2:$EE$2,BY$2-1,$D8:$EE8)/12)*(1+XLOOKUP(BY$2,Assumptions!$C$94:$M$94,Assumptions!$C$97:$M$97)))</f>
        <v>26729.95441</v>
      </c>
      <c r="BZ8" s="54">
        <f t="array" ref="BZ8">IF(BZ$2=1,Assumptions!$X8/12,(SUMIF($D$2:$EE$2,BZ$2-1,$D8:$EE8)/12)*(1+XLOOKUP(BZ$2,Assumptions!$C$94:$M$94,Assumptions!$C$97:$M$97)))</f>
        <v>26729.95441</v>
      </c>
      <c r="CA8" s="54">
        <f t="array" ref="CA8">IF(CA$2=1,Assumptions!$X8/12,(SUMIF($D$2:$EE$2,CA$2-1,$D8:$EE8)/12)*(1+XLOOKUP(CA$2,Assumptions!$C$94:$M$94,Assumptions!$C$97:$M$97)))</f>
        <v>26729.95441</v>
      </c>
      <c r="CB8" s="54">
        <f t="array" ref="CB8">IF(CB$2=1,Assumptions!$X8/12,(SUMIF($D$2:$EE$2,CB$2-1,$D8:$EE8)/12)*(1+XLOOKUP(CB$2,Assumptions!$C$94:$M$94,Assumptions!$C$97:$M$97)))</f>
        <v>26729.95441</v>
      </c>
      <c r="CC8" s="54">
        <f t="array" ref="CC8">IF(CC$2=1,Assumptions!$X8/12,(SUMIF($D$2:$EE$2,CC$2-1,$D8:$EE8)/12)*(1+XLOOKUP(CC$2,Assumptions!$C$94:$M$94,Assumptions!$C$97:$M$97)))</f>
        <v>26729.95441</v>
      </c>
      <c r="CD8" s="54">
        <f t="array" ref="CD8">IF(CD$2=1,Assumptions!$X8/12,(SUMIF($D$2:$EE$2,CD$2-1,$D8:$EE8)/12)*(1+XLOOKUP(CD$2,Assumptions!$C$94:$M$94,Assumptions!$C$97:$M$97)))</f>
        <v>26729.95441</v>
      </c>
      <c r="CE8" s="54">
        <f t="array" ref="CE8">IF(CE$2=1,Assumptions!$X8/12,(SUMIF($D$2:$EE$2,CE$2-1,$D8:$EE8)/12)*(1+XLOOKUP(CE$2,Assumptions!$C$94:$M$94,Assumptions!$C$97:$M$97)))</f>
        <v>26729.95441</v>
      </c>
      <c r="CF8" s="54">
        <f t="array" ref="CF8">IF(CF$2=1,Assumptions!$X8/12,(SUMIF($D$2:$EE$2,CF$2-1,$D8:$EE8)/12)*(1+XLOOKUP(CF$2,Assumptions!$C$94:$M$94,Assumptions!$C$97:$M$97)))</f>
        <v>26729.95441</v>
      </c>
      <c r="CG8" s="54">
        <f t="array" ref="CG8">IF(CG$2=1,Assumptions!$X8/12,(SUMIF($D$2:$EE$2,CG$2-1,$D8:$EE8)/12)*(1+XLOOKUP(CG$2,Assumptions!$C$94:$M$94,Assumptions!$C$97:$M$97)))</f>
        <v>26729.95441</v>
      </c>
      <c r="CH8" s="54">
        <f t="array" ref="CH8">IF(CH$2=1,Assumptions!$X8/12,(SUMIF($D$2:$EE$2,CH$2-1,$D8:$EE8)/12)*(1+XLOOKUP(CH$2,Assumptions!$C$94:$M$94,Assumptions!$C$97:$M$97)))</f>
        <v>26729.95441</v>
      </c>
      <c r="CI8" s="54">
        <f t="array" ref="CI8">IF(CI$2=1,Assumptions!$X8/12,(SUMIF($D$2:$EE$2,CI$2-1,$D8:$EE8)/12)*(1+XLOOKUP(CI$2,Assumptions!$C$94:$M$94,Assumptions!$C$97:$M$97)))</f>
        <v>26729.95441</v>
      </c>
      <c r="CJ8" s="54">
        <f t="array" ref="CJ8">IF(CJ$2=1,Assumptions!$X8/12,(SUMIF($D$2:$EE$2,CJ$2-1,$D8:$EE8)/12)*(1+XLOOKUP(CJ$2,Assumptions!$C$94:$M$94,Assumptions!$C$97:$M$97)))</f>
        <v>27531.85304</v>
      </c>
      <c r="CK8" s="54">
        <f t="array" ref="CK8">IF(CK$2=1,Assumptions!$X8/12,(SUMIF($D$2:$EE$2,CK$2-1,$D8:$EE8)/12)*(1+XLOOKUP(CK$2,Assumptions!$C$94:$M$94,Assumptions!$C$97:$M$97)))</f>
        <v>27531.85304</v>
      </c>
      <c r="CL8" s="54">
        <f t="array" ref="CL8">IF(CL$2=1,Assumptions!$X8/12,(SUMIF($D$2:$EE$2,CL$2-1,$D8:$EE8)/12)*(1+XLOOKUP(CL$2,Assumptions!$C$94:$M$94,Assumptions!$C$97:$M$97)))</f>
        <v>27531.85304</v>
      </c>
      <c r="CM8" s="54">
        <f t="array" ref="CM8">IF(CM$2=1,Assumptions!$X8/12,(SUMIF($D$2:$EE$2,CM$2-1,$D8:$EE8)/12)*(1+XLOOKUP(CM$2,Assumptions!$C$94:$M$94,Assumptions!$C$97:$M$97)))</f>
        <v>27531.85304</v>
      </c>
      <c r="CN8" s="54">
        <f t="array" ref="CN8">IF(CN$2=1,Assumptions!$X8/12,(SUMIF($D$2:$EE$2,CN$2-1,$D8:$EE8)/12)*(1+XLOOKUP(CN$2,Assumptions!$C$94:$M$94,Assumptions!$C$97:$M$97)))</f>
        <v>27531.85304</v>
      </c>
      <c r="CO8" s="54">
        <f t="array" ref="CO8">IF(CO$2=1,Assumptions!$X8/12,(SUMIF($D$2:$EE$2,CO$2-1,$D8:$EE8)/12)*(1+XLOOKUP(CO$2,Assumptions!$C$94:$M$94,Assumptions!$C$97:$M$97)))</f>
        <v>27531.85304</v>
      </c>
      <c r="CP8" s="54">
        <f t="array" ref="CP8">IF(CP$2=1,Assumptions!$X8/12,(SUMIF($D$2:$EE$2,CP$2-1,$D8:$EE8)/12)*(1+XLOOKUP(CP$2,Assumptions!$C$94:$M$94,Assumptions!$C$97:$M$97)))</f>
        <v>27531.85304</v>
      </c>
      <c r="CQ8" s="54">
        <f t="array" ref="CQ8">IF(CQ$2=1,Assumptions!$X8/12,(SUMIF($D$2:$EE$2,CQ$2-1,$D8:$EE8)/12)*(1+XLOOKUP(CQ$2,Assumptions!$C$94:$M$94,Assumptions!$C$97:$M$97)))</f>
        <v>27531.85304</v>
      </c>
      <c r="CR8" s="54">
        <f t="array" ref="CR8">IF(CR$2=1,Assumptions!$X8/12,(SUMIF($D$2:$EE$2,CR$2-1,$D8:$EE8)/12)*(1+XLOOKUP(CR$2,Assumptions!$C$94:$M$94,Assumptions!$C$97:$M$97)))</f>
        <v>27531.85304</v>
      </c>
      <c r="CS8" s="54">
        <f t="array" ref="CS8">IF(CS$2=1,Assumptions!$X8/12,(SUMIF($D$2:$EE$2,CS$2-1,$D8:$EE8)/12)*(1+XLOOKUP(CS$2,Assumptions!$C$94:$M$94,Assumptions!$C$97:$M$97)))</f>
        <v>27531.85304</v>
      </c>
      <c r="CT8" s="54">
        <f t="array" ref="CT8">IF(CT$2=1,Assumptions!$X8/12,(SUMIF($D$2:$EE$2,CT$2-1,$D8:$EE8)/12)*(1+XLOOKUP(CT$2,Assumptions!$C$94:$M$94,Assumptions!$C$97:$M$97)))</f>
        <v>27531.85304</v>
      </c>
      <c r="CU8" s="54">
        <f t="array" ref="CU8">IF(CU$2=1,Assumptions!$X8/12,(SUMIF($D$2:$EE$2,CU$2-1,$D8:$EE8)/12)*(1+XLOOKUP(CU$2,Assumptions!$C$94:$M$94,Assumptions!$C$97:$M$97)))</f>
        <v>27531.85304</v>
      </c>
      <c r="CV8" s="54">
        <f t="array" ref="CV8">IF(CV$2=1,Assumptions!$X8/12,(SUMIF($D$2:$EE$2,CV$2-1,$D8:$EE8)/12)*(1+XLOOKUP(CV$2,Assumptions!$C$94:$M$94,Assumptions!$C$97:$M$97)))</f>
        <v>28357.80863</v>
      </c>
      <c r="CW8" s="54">
        <f t="array" ref="CW8">IF(CW$2=1,Assumptions!$X8/12,(SUMIF($D$2:$EE$2,CW$2-1,$D8:$EE8)/12)*(1+XLOOKUP(CW$2,Assumptions!$C$94:$M$94,Assumptions!$C$97:$M$97)))</f>
        <v>28357.80863</v>
      </c>
      <c r="CX8" s="54">
        <f t="array" ref="CX8">IF(CX$2=1,Assumptions!$X8/12,(SUMIF($D$2:$EE$2,CX$2-1,$D8:$EE8)/12)*(1+XLOOKUP(CX$2,Assumptions!$C$94:$M$94,Assumptions!$C$97:$M$97)))</f>
        <v>28357.80863</v>
      </c>
      <c r="CY8" s="54">
        <f t="array" ref="CY8">IF(CY$2=1,Assumptions!$X8/12,(SUMIF($D$2:$EE$2,CY$2-1,$D8:$EE8)/12)*(1+XLOOKUP(CY$2,Assumptions!$C$94:$M$94,Assumptions!$C$97:$M$97)))</f>
        <v>28357.80863</v>
      </c>
      <c r="CZ8" s="54">
        <f t="array" ref="CZ8">IF(CZ$2=1,Assumptions!$X8/12,(SUMIF($D$2:$EE$2,CZ$2-1,$D8:$EE8)/12)*(1+XLOOKUP(CZ$2,Assumptions!$C$94:$M$94,Assumptions!$C$97:$M$97)))</f>
        <v>28357.80863</v>
      </c>
      <c r="DA8" s="54">
        <f t="array" ref="DA8">IF(DA$2=1,Assumptions!$X8/12,(SUMIF($D$2:$EE$2,DA$2-1,$D8:$EE8)/12)*(1+XLOOKUP(DA$2,Assumptions!$C$94:$M$94,Assumptions!$C$97:$M$97)))</f>
        <v>28357.80863</v>
      </c>
      <c r="DB8" s="54">
        <f t="array" ref="DB8">IF(DB$2=1,Assumptions!$X8/12,(SUMIF($D$2:$EE$2,DB$2-1,$D8:$EE8)/12)*(1+XLOOKUP(DB$2,Assumptions!$C$94:$M$94,Assumptions!$C$97:$M$97)))</f>
        <v>28357.80863</v>
      </c>
      <c r="DC8" s="54">
        <f t="array" ref="DC8">IF(DC$2=1,Assumptions!$X8/12,(SUMIF($D$2:$EE$2,DC$2-1,$D8:$EE8)/12)*(1+XLOOKUP(DC$2,Assumptions!$C$94:$M$94,Assumptions!$C$97:$M$97)))</f>
        <v>28357.80863</v>
      </c>
      <c r="DD8" s="54">
        <f t="array" ref="DD8">IF(DD$2=1,Assumptions!$X8/12,(SUMIF($D$2:$EE$2,DD$2-1,$D8:$EE8)/12)*(1+XLOOKUP(DD$2,Assumptions!$C$94:$M$94,Assumptions!$C$97:$M$97)))</f>
        <v>28357.80863</v>
      </c>
      <c r="DE8" s="54">
        <f t="array" ref="DE8">IF(DE$2=1,Assumptions!$X8/12,(SUMIF($D$2:$EE$2,DE$2-1,$D8:$EE8)/12)*(1+XLOOKUP(DE$2,Assumptions!$C$94:$M$94,Assumptions!$C$97:$M$97)))</f>
        <v>28357.80863</v>
      </c>
      <c r="DF8" s="54">
        <f t="array" ref="DF8">IF(DF$2=1,Assumptions!$X8/12,(SUMIF($D$2:$EE$2,DF$2-1,$D8:$EE8)/12)*(1+XLOOKUP(DF$2,Assumptions!$C$94:$M$94,Assumptions!$C$97:$M$97)))</f>
        <v>28357.80863</v>
      </c>
      <c r="DG8" s="54">
        <f t="array" ref="DG8">IF(DG$2=1,Assumptions!$X8/12,(SUMIF($D$2:$EE$2,DG$2-1,$D8:$EE8)/12)*(1+XLOOKUP(DG$2,Assumptions!$C$94:$M$94,Assumptions!$C$97:$M$97)))</f>
        <v>28357.80863</v>
      </c>
      <c r="DH8" s="54">
        <f t="array" ref="DH8">IF(DH$2=1,Assumptions!$X8/12,(SUMIF($D$2:$EE$2,DH$2-1,$D8:$EE8)/12)*(1+XLOOKUP(DH$2,Assumptions!$C$94:$M$94,Assumptions!$C$97:$M$97)))</f>
        <v>29208.54289</v>
      </c>
      <c r="DI8" s="54">
        <f t="array" ref="DI8">IF(DI$2=1,Assumptions!$X8/12,(SUMIF($D$2:$EE$2,DI$2-1,$D8:$EE8)/12)*(1+XLOOKUP(DI$2,Assumptions!$C$94:$M$94,Assumptions!$C$97:$M$97)))</f>
        <v>29208.54289</v>
      </c>
      <c r="DJ8" s="54">
        <f t="array" ref="DJ8">IF(DJ$2=1,Assumptions!$X8/12,(SUMIF($D$2:$EE$2,DJ$2-1,$D8:$EE8)/12)*(1+XLOOKUP(DJ$2,Assumptions!$C$94:$M$94,Assumptions!$C$97:$M$97)))</f>
        <v>29208.54289</v>
      </c>
      <c r="DK8" s="54">
        <f t="array" ref="DK8">IF(DK$2=1,Assumptions!$X8/12,(SUMIF($D$2:$EE$2,DK$2-1,$D8:$EE8)/12)*(1+XLOOKUP(DK$2,Assumptions!$C$94:$M$94,Assumptions!$C$97:$M$97)))</f>
        <v>29208.54289</v>
      </c>
      <c r="DL8" s="54">
        <f t="array" ref="DL8">IF(DL$2=1,Assumptions!$X8/12,(SUMIF($D$2:$EE$2,DL$2-1,$D8:$EE8)/12)*(1+XLOOKUP(DL$2,Assumptions!$C$94:$M$94,Assumptions!$C$97:$M$97)))</f>
        <v>29208.54289</v>
      </c>
      <c r="DM8" s="54">
        <f t="array" ref="DM8">IF(DM$2=1,Assumptions!$X8/12,(SUMIF($D$2:$EE$2,DM$2-1,$D8:$EE8)/12)*(1+XLOOKUP(DM$2,Assumptions!$C$94:$M$94,Assumptions!$C$97:$M$97)))</f>
        <v>29208.54289</v>
      </c>
      <c r="DN8" s="54">
        <f t="array" ref="DN8">IF(DN$2=1,Assumptions!$X8/12,(SUMIF($D$2:$EE$2,DN$2-1,$D8:$EE8)/12)*(1+XLOOKUP(DN$2,Assumptions!$C$94:$M$94,Assumptions!$C$97:$M$97)))</f>
        <v>29208.54289</v>
      </c>
      <c r="DO8" s="54">
        <f t="array" ref="DO8">IF(DO$2=1,Assumptions!$X8/12,(SUMIF($D$2:$EE$2,DO$2-1,$D8:$EE8)/12)*(1+XLOOKUP(DO$2,Assumptions!$C$94:$M$94,Assumptions!$C$97:$M$97)))</f>
        <v>29208.54289</v>
      </c>
      <c r="DP8" s="54">
        <f t="array" ref="DP8">IF(DP$2=1,Assumptions!$X8/12,(SUMIF($D$2:$EE$2,DP$2-1,$D8:$EE8)/12)*(1+XLOOKUP(DP$2,Assumptions!$C$94:$M$94,Assumptions!$C$97:$M$97)))</f>
        <v>29208.54289</v>
      </c>
      <c r="DQ8" s="54">
        <f t="array" ref="DQ8">IF(DQ$2=1,Assumptions!$X8/12,(SUMIF($D$2:$EE$2,DQ$2-1,$D8:$EE8)/12)*(1+XLOOKUP(DQ$2,Assumptions!$C$94:$M$94,Assumptions!$C$97:$M$97)))</f>
        <v>29208.54289</v>
      </c>
      <c r="DR8" s="54">
        <f t="array" ref="DR8">IF(DR$2=1,Assumptions!$X8/12,(SUMIF($D$2:$EE$2,DR$2-1,$D8:$EE8)/12)*(1+XLOOKUP(DR$2,Assumptions!$C$94:$M$94,Assumptions!$C$97:$M$97)))</f>
        <v>29208.54289</v>
      </c>
      <c r="DS8" s="54">
        <f t="array" ref="DS8">IF(DS$2=1,Assumptions!$X8/12,(SUMIF($D$2:$EE$2,DS$2-1,$D8:$EE8)/12)*(1+XLOOKUP(DS$2,Assumptions!$C$94:$M$94,Assumptions!$C$97:$M$97)))</f>
        <v>29208.54289</v>
      </c>
      <c r="DT8" s="54">
        <f t="array" ref="DT8">IF(DT$2=1,Assumptions!$X8/12,(SUMIF($D$2:$EE$2,DT$2-1,$D8:$EE8)/12)*(1+XLOOKUP(DT$2,Assumptions!$C$94:$M$94,Assumptions!$C$97:$M$97)))</f>
        <v>30084.79918</v>
      </c>
      <c r="DU8" s="54">
        <f t="array" ref="DU8">IF(DU$2=1,Assumptions!$X8/12,(SUMIF($D$2:$EE$2,DU$2-1,$D8:$EE8)/12)*(1+XLOOKUP(DU$2,Assumptions!$C$94:$M$94,Assumptions!$C$97:$M$97)))</f>
        <v>30084.79918</v>
      </c>
      <c r="DV8" s="54">
        <f t="array" ref="DV8">IF(DV$2=1,Assumptions!$X8/12,(SUMIF($D$2:$EE$2,DV$2-1,$D8:$EE8)/12)*(1+XLOOKUP(DV$2,Assumptions!$C$94:$M$94,Assumptions!$C$97:$M$97)))</f>
        <v>30084.79918</v>
      </c>
      <c r="DW8" s="54">
        <f t="array" ref="DW8">IF(DW$2=1,Assumptions!$X8/12,(SUMIF($D$2:$EE$2,DW$2-1,$D8:$EE8)/12)*(1+XLOOKUP(DW$2,Assumptions!$C$94:$M$94,Assumptions!$C$97:$M$97)))</f>
        <v>30084.79918</v>
      </c>
      <c r="DX8" s="54">
        <f t="array" ref="DX8">IF(DX$2=1,Assumptions!$X8/12,(SUMIF($D$2:$EE$2,DX$2-1,$D8:$EE8)/12)*(1+XLOOKUP(DX$2,Assumptions!$C$94:$M$94,Assumptions!$C$97:$M$97)))</f>
        <v>30084.79918</v>
      </c>
      <c r="DY8" s="54">
        <f t="array" ref="DY8">IF(DY$2=1,Assumptions!$X8/12,(SUMIF($D$2:$EE$2,DY$2-1,$D8:$EE8)/12)*(1+XLOOKUP(DY$2,Assumptions!$C$94:$M$94,Assumptions!$C$97:$M$97)))</f>
        <v>30084.79918</v>
      </c>
      <c r="DZ8" s="54">
        <f t="array" ref="DZ8">IF(DZ$2=1,Assumptions!$X8/12,(SUMIF($D$2:$EE$2,DZ$2-1,$D8:$EE8)/12)*(1+XLOOKUP(DZ$2,Assumptions!$C$94:$M$94,Assumptions!$C$97:$M$97)))</f>
        <v>30084.79918</v>
      </c>
      <c r="EA8" s="54">
        <f t="array" ref="EA8">IF(EA$2=1,Assumptions!$X8/12,(SUMIF($D$2:$EE$2,EA$2-1,$D8:$EE8)/12)*(1+XLOOKUP(EA$2,Assumptions!$C$94:$M$94,Assumptions!$C$97:$M$97)))</f>
        <v>30084.79918</v>
      </c>
      <c r="EB8" s="54">
        <f t="array" ref="EB8">IF(EB$2=1,Assumptions!$X8/12,(SUMIF($D$2:$EE$2,EB$2-1,$D8:$EE8)/12)*(1+XLOOKUP(EB$2,Assumptions!$C$94:$M$94,Assumptions!$C$97:$M$97)))</f>
        <v>30084.79918</v>
      </c>
      <c r="EC8" s="54">
        <f t="array" ref="EC8">IF(EC$2=1,Assumptions!$X8/12,(SUMIF($D$2:$EE$2,EC$2-1,$D8:$EE8)/12)*(1+XLOOKUP(EC$2,Assumptions!$C$94:$M$94,Assumptions!$C$97:$M$97)))</f>
        <v>30084.79918</v>
      </c>
      <c r="ED8" s="54">
        <f t="array" ref="ED8">IF(ED$2=1,Assumptions!$X8/12,(SUMIF($D$2:$EE$2,ED$2-1,$D8:$EE8)/12)*(1+XLOOKUP(ED$2,Assumptions!$C$94:$M$94,Assumptions!$C$97:$M$97)))</f>
        <v>30084.79918</v>
      </c>
      <c r="EE8" s="54">
        <f t="array" ref="EE8">IF(EE$2=1,Assumptions!$X8/12,(SUMIF($D$2:$EE$2,EE$2-1,$D8:$EE8)/12)*(1+XLOOKUP(EE$2,Assumptions!$C$94:$M$94,Assumptions!$C$97:$M$97)))</f>
        <v>30084.79918</v>
      </c>
    </row>
    <row r="9" ht="15.75" customHeight="1">
      <c r="A9" s="1"/>
      <c r="B9" s="1"/>
      <c r="C9" s="1" t="str">
        <f>Assumptions!R9</f>
        <v>4x2</v>
      </c>
      <c r="D9" s="54">
        <f t="array" ref="D9">IF(D$2=1,Assumptions!$X9/12,(SUMIF($D$2:$EE$2,D$2-1,$D9:$EE9)/12)*(1+XLOOKUP(D$2,Assumptions!$C$94:$M$94,Assumptions!$C$97:$M$97)))</f>
        <v>13219.584</v>
      </c>
      <c r="E9" s="54">
        <f t="array" ref="E9">IF(E$2=1,Assumptions!$X9/12,(SUMIF($D$2:$EE$2,E$2-1,$D9:$EE9)/12)*(1+XLOOKUP(E$2,Assumptions!$C$94:$M$94,Assumptions!$C$97:$M$97)))</f>
        <v>13219.584</v>
      </c>
      <c r="F9" s="54">
        <f t="array" ref="F9">IF(F$2=1,Assumptions!$X9/12,(SUMIF($D$2:$EE$2,F$2-1,$D9:$EE9)/12)*(1+XLOOKUP(F$2,Assumptions!$C$94:$M$94,Assumptions!$C$97:$M$97)))</f>
        <v>13219.584</v>
      </c>
      <c r="G9" s="54">
        <f t="array" ref="G9">IF(G$2=1,Assumptions!$X9/12,(SUMIF($D$2:$EE$2,G$2-1,$D9:$EE9)/12)*(1+XLOOKUP(G$2,Assumptions!$C$94:$M$94,Assumptions!$C$97:$M$97)))</f>
        <v>13219.584</v>
      </c>
      <c r="H9" s="54">
        <f t="array" ref="H9">IF(H$2=1,Assumptions!$X9/12,(SUMIF($D$2:$EE$2,H$2-1,$D9:$EE9)/12)*(1+XLOOKUP(H$2,Assumptions!$C$94:$M$94,Assumptions!$C$97:$M$97)))</f>
        <v>13219.584</v>
      </c>
      <c r="I9" s="54">
        <f t="array" ref="I9">IF(I$2=1,Assumptions!$X9/12,(SUMIF($D$2:$EE$2,I$2-1,$D9:$EE9)/12)*(1+XLOOKUP(I$2,Assumptions!$C$94:$M$94,Assumptions!$C$97:$M$97)))</f>
        <v>13219.584</v>
      </c>
      <c r="J9" s="54">
        <f t="array" ref="J9">IF(J$2=1,Assumptions!$X9/12,(SUMIF($D$2:$EE$2,J$2-1,$D9:$EE9)/12)*(1+XLOOKUP(J$2,Assumptions!$C$94:$M$94,Assumptions!$C$97:$M$97)))</f>
        <v>13219.584</v>
      </c>
      <c r="K9" s="54">
        <f t="array" ref="K9">IF(K$2=1,Assumptions!$X9/12,(SUMIF($D$2:$EE$2,K$2-1,$D9:$EE9)/12)*(1+XLOOKUP(K$2,Assumptions!$C$94:$M$94,Assumptions!$C$97:$M$97)))</f>
        <v>13219.584</v>
      </c>
      <c r="L9" s="54">
        <f t="array" ref="L9">IF(L$2=1,Assumptions!$X9/12,(SUMIF($D$2:$EE$2,L$2-1,$D9:$EE9)/12)*(1+XLOOKUP(L$2,Assumptions!$C$94:$M$94,Assumptions!$C$97:$M$97)))</f>
        <v>13219.584</v>
      </c>
      <c r="M9" s="54">
        <f t="array" ref="M9">IF(M$2=1,Assumptions!$X9/12,(SUMIF($D$2:$EE$2,M$2-1,$D9:$EE9)/12)*(1+XLOOKUP(M$2,Assumptions!$C$94:$M$94,Assumptions!$C$97:$M$97)))</f>
        <v>13219.584</v>
      </c>
      <c r="N9" s="54">
        <f t="array" ref="N9">IF(N$2=1,Assumptions!$X9/12,(SUMIF($D$2:$EE$2,N$2-1,$D9:$EE9)/12)*(1+XLOOKUP(N$2,Assumptions!$C$94:$M$94,Assumptions!$C$97:$M$97)))</f>
        <v>13219.584</v>
      </c>
      <c r="O9" s="54">
        <f t="array" ref="O9">IF(O$2=1,Assumptions!$X9/12,(SUMIF($D$2:$EE$2,O$2-1,$D9:$EE9)/12)*(1+XLOOKUP(O$2,Assumptions!$C$94:$M$94,Assumptions!$C$97:$M$97)))</f>
        <v>13219.584</v>
      </c>
      <c r="P9" s="54">
        <f t="array" ref="P9">IF(P$2=1,Assumptions!$X9/12,(SUMIF($D$2:$EE$2,P$2-1,$D9:$EE9)/12)*(1+XLOOKUP(P$2,Assumptions!$C$94:$M$94,Assumptions!$C$97:$M$97)))</f>
        <v>13616.17152</v>
      </c>
      <c r="Q9" s="54">
        <f t="array" ref="Q9">IF(Q$2=1,Assumptions!$X9/12,(SUMIF($D$2:$EE$2,Q$2-1,$D9:$EE9)/12)*(1+XLOOKUP(Q$2,Assumptions!$C$94:$M$94,Assumptions!$C$97:$M$97)))</f>
        <v>13616.17152</v>
      </c>
      <c r="R9" s="54">
        <f t="array" ref="R9">IF(R$2=1,Assumptions!$X9/12,(SUMIF($D$2:$EE$2,R$2-1,$D9:$EE9)/12)*(1+XLOOKUP(R$2,Assumptions!$C$94:$M$94,Assumptions!$C$97:$M$97)))</f>
        <v>13616.17152</v>
      </c>
      <c r="S9" s="54">
        <f t="array" ref="S9">IF(S$2=1,Assumptions!$X9/12,(SUMIF($D$2:$EE$2,S$2-1,$D9:$EE9)/12)*(1+XLOOKUP(S$2,Assumptions!$C$94:$M$94,Assumptions!$C$97:$M$97)))</f>
        <v>13616.17152</v>
      </c>
      <c r="T9" s="54">
        <f t="array" ref="T9">IF(T$2=1,Assumptions!$X9/12,(SUMIF($D$2:$EE$2,T$2-1,$D9:$EE9)/12)*(1+XLOOKUP(T$2,Assumptions!$C$94:$M$94,Assumptions!$C$97:$M$97)))</f>
        <v>13616.17152</v>
      </c>
      <c r="U9" s="54">
        <f t="array" ref="U9">IF(U$2=1,Assumptions!$X9/12,(SUMIF($D$2:$EE$2,U$2-1,$D9:$EE9)/12)*(1+XLOOKUP(U$2,Assumptions!$C$94:$M$94,Assumptions!$C$97:$M$97)))</f>
        <v>13616.17152</v>
      </c>
      <c r="V9" s="54">
        <f t="array" ref="V9">IF(V$2=1,Assumptions!$X9/12,(SUMIF($D$2:$EE$2,V$2-1,$D9:$EE9)/12)*(1+XLOOKUP(V$2,Assumptions!$C$94:$M$94,Assumptions!$C$97:$M$97)))</f>
        <v>13616.17152</v>
      </c>
      <c r="W9" s="54">
        <f t="array" ref="W9">IF(W$2=1,Assumptions!$X9/12,(SUMIF($D$2:$EE$2,W$2-1,$D9:$EE9)/12)*(1+XLOOKUP(W$2,Assumptions!$C$94:$M$94,Assumptions!$C$97:$M$97)))</f>
        <v>13616.17152</v>
      </c>
      <c r="X9" s="54">
        <f t="array" ref="X9">IF(X$2=1,Assumptions!$X9/12,(SUMIF($D$2:$EE$2,X$2-1,$D9:$EE9)/12)*(1+XLOOKUP(X$2,Assumptions!$C$94:$M$94,Assumptions!$C$97:$M$97)))</f>
        <v>13616.17152</v>
      </c>
      <c r="Y9" s="54">
        <f t="array" ref="Y9">IF(Y$2=1,Assumptions!$X9/12,(SUMIF($D$2:$EE$2,Y$2-1,$D9:$EE9)/12)*(1+XLOOKUP(Y$2,Assumptions!$C$94:$M$94,Assumptions!$C$97:$M$97)))</f>
        <v>13616.17152</v>
      </c>
      <c r="Z9" s="54">
        <f t="array" ref="Z9">IF(Z$2=1,Assumptions!$X9/12,(SUMIF($D$2:$EE$2,Z$2-1,$D9:$EE9)/12)*(1+XLOOKUP(Z$2,Assumptions!$C$94:$M$94,Assumptions!$C$97:$M$97)))</f>
        <v>13616.17152</v>
      </c>
      <c r="AA9" s="54">
        <f t="array" ref="AA9">IF(AA$2=1,Assumptions!$X9/12,(SUMIF($D$2:$EE$2,AA$2-1,$D9:$EE9)/12)*(1+XLOOKUP(AA$2,Assumptions!$C$94:$M$94,Assumptions!$C$97:$M$97)))</f>
        <v>13616.17152</v>
      </c>
      <c r="AB9" s="54">
        <f t="array" ref="AB9">IF(AB$2=1,Assumptions!$X9/12,(SUMIF($D$2:$EE$2,AB$2-1,$D9:$EE9)/12)*(1+XLOOKUP(AB$2,Assumptions!$C$94:$M$94,Assumptions!$C$97:$M$97)))</f>
        <v>14024.65667</v>
      </c>
      <c r="AC9" s="54">
        <f t="array" ref="AC9">IF(AC$2=1,Assumptions!$X9/12,(SUMIF($D$2:$EE$2,AC$2-1,$D9:$EE9)/12)*(1+XLOOKUP(AC$2,Assumptions!$C$94:$M$94,Assumptions!$C$97:$M$97)))</f>
        <v>14024.65667</v>
      </c>
      <c r="AD9" s="54">
        <f t="array" ref="AD9">IF(AD$2=1,Assumptions!$X9/12,(SUMIF($D$2:$EE$2,AD$2-1,$D9:$EE9)/12)*(1+XLOOKUP(AD$2,Assumptions!$C$94:$M$94,Assumptions!$C$97:$M$97)))</f>
        <v>14024.65667</v>
      </c>
      <c r="AE9" s="54">
        <f t="array" ref="AE9">IF(AE$2=1,Assumptions!$X9/12,(SUMIF($D$2:$EE$2,AE$2-1,$D9:$EE9)/12)*(1+XLOOKUP(AE$2,Assumptions!$C$94:$M$94,Assumptions!$C$97:$M$97)))</f>
        <v>14024.65667</v>
      </c>
      <c r="AF9" s="54">
        <f t="array" ref="AF9">IF(AF$2=1,Assumptions!$X9/12,(SUMIF($D$2:$EE$2,AF$2-1,$D9:$EE9)/12)*(1+XLOOKUP(AF$2,Assumptions!$C$94:$M$94,Assumptions!$C$97:$M$97)))</f>
        <v>14024.65667</v>
      </c>
      <c r="AG9" s="54">
        <f t="array" ref="AG9">IF(AG$2=1,Assumptions!$X9/12,(SUMIF($D$2:$EE$2,AG$2-1,$D9:$EE9)/12)*(1+XLOOKUP(AG$2,Assumptions!$C$94:$M$94,Assumptions!$C$97:$M$97)))</f>
        <v>14024.65667</v>
      </c>
      <c r="AH9" s="54">
        <f t="array" ref="AH9">IF(AH$2=1,Assumptions!$X9/12,(SUMIF($D$2:$EE$2,AH$2-1,$D9:$EE9)/12)*(1+XLOOKUP(AH$2,Assumptions!$C$94:$M$94,Assumptions!$C$97:$M$97)))</f>
        <v>14024.65667</v>
      </c>
      <c r="AI9" s="54">
        <f t="array" ref="AI9">IF(AI$2=1,Assumptions!$X9/12,(SUMIF($D$2:$EE$2,AI$2-1,$D9:$EE9)/12)*(1+XLOOKUP(AI$2,Assumptions!$C$94:$M$94,Assumptions!$C$97:$M$97)))</f>
        <v>14024.65667</v>
      </c>
      <c r="AJ9" s="54">
        <f t="array" ref="AJ9">IF(AJ$2=1,Assumptions!$X9/12,(SUMIF($D$2:$EE$2,AJ$2-1,$D9:$EE9)/12)*(1+XLOOKUP(AJ$2,Assumptions!$C$94:$M$94,Assumptions!$C$97:$M$97)))</f>
        <v>14024.65667</v>
      </c>
      <c r="AK9" s="54">
        <f t="array" ref="AK9">IF(AK$2=1,Assumptions!$X9/12,(SUMIF($D$2:$EE$2,AK$2-1,$D9:$EE9)/12)*(1+XLOOKUP(AK$2,Assumptions!$C$94:$M$94,Assumptions!$C$97:$M$97)))</f>
        <v>14024.65667</v>
      </c>
      <c r="AL9" s="54">
        <f t="array" ref="AL9">IF(AL$2=1,Assumptions!$X9/12,(SUMIF($D$2:$EE$2,AL$2-1,$D9:$EE9)/12)*(1+XLOOKUP(AL$2,Assumptions!$C$94:$M$94,Assumptions!$C$97:$M$97)))</f>
        <v>14024.65667</v>
      </c>
      <c r="AM9" s="54">
        <f t="array" ref="AM9">IF(AM$2=1,Assumptions!$X9/12,(SUMIF($D$2:$EE$2,AM$2-1,$D9:$EE9)/12)*(1+XLOOKUP(AM$2,Assumptions!$C$94:$M$94,Assumptions!$C$97:$M$97)))</f>
        <v>14024.65667</v>
      </c>
      <c r="AN9" s="54">
        <f t="array" ref="AN9">IF(AN$2=1,Assumptions!$X9/12,(SUMIF($D$2:$EE$2,AN$2-1,$D9:$EE9)/12)*(1+XLOOKUP(AN$2,Assumptions!$C$94:$M$94,Assumptions!$C$97:$M$97)))</f>
        <v>14445.39637</v>
      </c>
      <c r="AO9" s="54">
        <f t="array" ref="AO9">IF(AO$2=1,Assumptions!$X9/12,(SUMIF($D$2:$EE$2,AO$2-1,$D9:$EE9)/12)*(1+XLOOKUP(AO$2,Assumptions!$C$94:$M$94,Assumptions!$C$97:$M$97)))</f>
        <v>14445.39637</v>
      </c>
      <c r="AP9" s="54">
        <f t="array" ref="AP9">IF(AP$2=1,Assumptions!$X9/12,(SUMIF($D$2:$EE$2,AP$2-1,$D9:$EE9)/12)*(1+XLOOKUP(AP$2,Assumptions!$C$94:$M$94,Assumptions!$C$97:$M$97)))</f>
        <v>14445.39637</v>
      </c>
      <c r="AQ9" s="54">
        <f t="array" ref="AQ9">IF(AQ$2=1,Assumptions!$X9/12,(SUMIF($D$2:$EE$2,AQ$2-1,$D9:$EE9)/12)*(1+XLOOKUP(AQ$2,Assumptions!$C$94:$M$94,Assumptions!$C$97:$M$97)))</f>
        <v>14445.39637</v>
      </c>
      <c r="AR9" s="54">
        <f t="array" ref="AR9">IF(AR$2=1,Assumptions!$X9/12,(SUMIF($D$2:$EE$2,AR$2-1,$D9:$EE9)/12)*(1+XLOOKUP(AR$2,Assumptions!$C$94:$M$94,Assumptions!$C$97:$M$97)))</f>
        <v>14445.39637</v>
      </c>
      <c r="AS9" s="54">
        <f t="array" ref="AS9">IF(AS$2=1,Assumptions!$X9/12,(SUMIF($D$2:$EE$2,AS$2-1,$D9:$EE9)/12)*(1+XLOOKUP(AS$2,Assumptions!$C$94:$M$94,Assumptions!$C$97:$M$97)))</f>
        <v>14445.39637</v>
      </c>
      <c r="AT9" s="54">
        <f t="array" ref="AT9">IF(AT$2=1,Assumptions!$X9/12,(SUMIF($D$2:$EE$2,AT$2-1,$D9:$EE9)/12)*(1+XLOOKUP(AT$2,Assumptions!$C$94:$M$94,Assumptions!$C$97:$M$97)))</f>
        <v>14445.39637</v>
      </c>
      <c r="AU9" s="54">
        <f t="array" ref="AU9">IF(AU$2=1,Assumptions!$X9/12,(SUMIF($D$2:$EE$2,AU$2-1,$D9:$EE9)/12)*(1+XLOOKUP(AU$2,Assumptions!$C$94:$M$94,Assumptions!$C$97:$M$97)))</f>
        <v>14445.39637</v>
      </c>
      <c r="AV9" s="54">
        <f t="array" ref="AV9">IF(AV$2=1,Assumptions!$X9/12,(SUMIF($D$2:$EE$2,AV$2-1,$D9:$EE9)/12)*(1+XLOOKUP(AV$2,Assumptions!$C$94:$M$94,Assumptions!$C$97:$M$97)))</f>
        <v>14445.39637</v>
      </c>
      <c r="AW9" s="54">
        <f t="array" ref="AW9">IF(AW$2=1,Assumptions!$X9/12,(SUMIF($D$2:$EE$2,AW$2-1,$D9:$EE9)/12)*(1+XLOOKUP(AW$2,Assumptions!$C$94:$M$94,Assumptions!$C$97:$M$97)))</f>
        <v>14445.39637</v>
      </c>
      <c r="AX9" s="54">
        <f t="array" ref="AX9">IF(AX$2=1,Assumptions!$X9/12,(SUMIF($D$2:$EE$2,AX$2-1,$D9:$EE9)/12)*(1+XLOOKUP(AX$2,Assumptions!$C$94:$M$94,Assumptions!$C$97:$M$97)))</f>
        <v>14445.39637</v>
      </c>
      <c r="AY9" s="54">
        <f t="array" ref="AY9">IF(AY$2=1,Assumptions!$X9/12,(SUMIF($D$2:$EE$2,AY$2-1,$D9:$EE9)/12)*(1+XLOOKUP(AY$2,Assumptions!$C$94:$M$94,Assumptions!$C$97:$M$97)))</f>
        <v>14445.39637</v>
      </c>
      <c r="AZ9" s="54">
        <f t="array" ref="AZ9">IF(AZ$2=1,Assumptions!$X9/12,(SUMIF($D$2:$EE$2,AZ$2-1,$D9:$EE9)/12)*(1+XLOOKUP(AZ$2,Assumptions!$C$94:$M$94,Assumptions!$C$97:$M$97)))</f>
        <v>14878.75826</v>
      </c>
      <c r="BA9" s="54">
        <f t="array" ref="BA9">IF(BA$2=1,Assumptions!$X9/12,(SUMIF($D$2:$EE$2,BA$2-1,$D9:$EE9)/12)*(1+XLOOKUP(BA$2,Assumptions!$C$94:$M$94,Assumptions!$C$97:$M$97)))</f>
        <v>14878.75826</v>
      </c>
      <c r="BB9" s="54">
        <f t="array" ref="BB9">IF(BB$2=1,Assumptions!$X9/12,(SUMIF($D$2:$EE$2,BB$2-1,$D9:$EE9)/12)*(1+XLOOKUP(BB$2,Assumptions!$C$94:$M$94,Assumptions!$C$97:$M$97)))</f>
        <v>14878.75826</v>
      </c>
      <c r="BC9" s="54">
        <f t="array" ref="BC9">IF(BC$2=1,Assumptions!$X9/12,(SUMIF($D$2:$EE$2,BC$2-1,$D9:$EE9)/12)*(1+XLOOKUP(BC$2,Assumptions!$C$94:$M$94,Assumptions!$C$97:$M$97)))</f>
        <v>14878.75826</v>
      </c>
      <c r="BD9" s="54">
        <f t="array" ref="BD9">IF(BD$2=1,Assumptions!$X9/12,(SUMIF($D$2:$EE$2,BD$2-1,$D9:$EE9)/12)*(1+XLOOKUP(BD$2,Assumptions!$C$94:$M$94,Assumptions!$C$97:$M$97)))</f>
        <v>14878.75826</v>
      </c>
      <c r="BE9" s="54">
        <f t="array" ref="BE9">IF(BE$2=1,Assumptions!$X9/12,(SUMIF($D$2:$EE$2,BE$2-1,$D9:$EE9)/12)*(1+XLOOKUP(BE$2,Assumptions!$C$94:$M$94,Assumptions!$C$97:$M$97)))</f>
        <v>14878.75826</v>
      </c>
      <c r="BF9" s="54">
        <f t="array" ref="BF9">IF(BF$2=1,Assumptions!$X9/12,(SUMIF($D$2:$EE$2,BF$2-1,$D9:$EE9)/12)*(1+XLOOKUP(BF$2,Assumptions!$C$94:$M$94,Assumptions!$C$97:$M$97)))</f>
        <v>14878.75826</v>
      </c>
      <c r="BG9" s="54">
        <f t="array" ref="BG9">IF(BG$2=1,Assumptions!$X9/12,(SUMIF($D$2:$EE$2,BG$2-1,$D9:$EE9)/12)*(1+XLOOKUP(BG$2,Assumptions!$C$94:$M$94,Assumptions!$C$97:$M$97)))</f>
        <v>14878.75826</v>
      </c>
      <c r="BH9" s="54">
        <f t="array" ref="BH9">IF(BH$2=1,Assumptions!$X9/12,(SUMIF($D$2:$EE$2,BH$2-1,$D9:$EE9)/12)*(1+XLOOKUP(BH$2,Assumptions!$C$94:$M$94,Assumptions!$C$97:$M$97)))</f>
        <v>14878.75826</v>
      </c>
      <c r="BI9" s="54">
        <f t="array" ref="BI9">IF(BI$2=1,Assumptions!$X9/12,(SUMIF($D$2:$EE$2,BI$2-1,$D9:$EE9)/12)*(1+XLOOKUP(BI$2,Assumptions!$C$94:$M$94,Assumptions!$C$97:$M$97)))</f>
        <v>14878.75826</v>
      </c>
      <c r="BJ9" s="54">
        <f t="array" ref="BJ9">IF(BJ$2=1,Assumptions!$X9/12,(SUMIF($D$2:$EE$2,BJ$2-1,$D9:$EE9)/12)*(1+XLOOKUP(BJ$2,Assumptions!$C$94:$M$94,Assumptions!$C$97:$M$97)))</f>
        <v>14878.75826</v>
      </c>
      <c r="BK9" s="54">
        <f t="array" ref="BK9">IF(BK$2=1,Assumptions!$X9/12,(SUMIF($D$2:$EE$2,BK$2-1,$D9:$EE9)/12)*(1+XLOOKUP(BK$2,Assumptions!$C$94:$M$94,Assumptions!$C$97:$M$97)))</f>
        <v>14878.75826</v>
      </c>
      <c r="BL9" s="54">
        <f t="array" ref="BL9">IF(BL$2=1,Assumptions!$X9/12,(SUMIF($D$2:$EE$2,BL$2-1,$D9:$EE9)/12)*(1+XLOOKUP(BL$2,Assumptions!$C$94:$M$94,Assumptions!$C$97:$M$97)))</f>
        <v>15325.121</v>
      </c>
      <c r="BM9" s="54">
        <f t="array" ref="BM9">IF(BM$2=1,Assumptions!$X9/12,(SUMIF($D$2:$EE$2,BM$2-1,$D9:$EE9)/12)*(1+XLOOKUP(BM$2,Assumptions!$C$94:$M$94,Assumptions!$C$97:$M$97)))</f>
        <v>15325.121</v>
      </c>
      <c r="BN9" s="54">
        <f t="array" ref="BN9">IF(BN$2=1,Assumptions!$X9/12,(SUMIF($D$2:$EE$2,BN$2-1,$D9:$EE9)/12)*(1+XLOOKUP(BN$2,Assumptions!$C$94:$M$94,Assumptions!$C$97:$M$97)))</f>
        <v>15325.121</v>
      </c>
      <c r="BO9" s="54">
        <f t="array" ref="BO9">IF(BO$2=1,Assumptions!$X9/12,(SUMIF($D$2:$EE$2,BO$2-1,$D9:$EE9)/12)*(1+XLOOKUP(BO$2,Assumptions!$C$94:$M$94,Assumptions!$C$97:$M$97)))</f>
        <v>15325.121</v>
      </c>
      <c r="BP9" s="54">
        <f t="array" ref="BP9">IF(BP$2=1,Assumptions!$X9/12,(SUMIF($D$2:$EE$2,BP$2-1,$D9:$EE9)/12)*(1+XLOOKUP(BP$2,Assumptions!$C$94:$M$94,Assumptions!$C$97:$M$97)))</f>
        <v>15325.121</v>
      </c>
      <c r="BQ9" s="54">
        <f t="array" ref="BQ9">IF(BQ$2=1,Assumptions!$X9/12,(SUMIF($D$2:$EE$2,BQ$2-1,$D9:$EE9)/12)*(1+XLOOKUP(BQ$2,Assumptions!$C$94:$M$94,Assumptions!$C$97:$M$97)))</f>
        <v>15325.121</v>
      </c>
      <c r="BR9" s="54">
        <f t="array" ref="BR9">IF(BR$2=1,Assumptions!$X9/12,(SUMIF($D$2:$EE$2,BR$2-1,$D9:$EE9)/12)*(1+XLOOKUP(BR$2,Assumptions!$C$94:$M$94,Assumptions!$C$97:$M$97)))</f>
        <v>15325.121</v>
      </c>
      <c r="BS9" s="54">
        <f t="array" ref="BS9">IF(BS$2=1,Assumptions!$X9/12,(SUMIF($D$2:$EE$2,BS$2-1,$D9:$EE9)/12)*(1+XLOOKUP(BS$2,Assumptions!$C$94:$M$94,Assumptions!$C$97:$M$97)))</f>
        <v>15325.121</v>
      </c>
      <c r="BT9" s="54">
        <f t="array" ref="BT9">IF(BT$2=1,Assumptions!$X9/12,(SUMIF($D$2:$EE$2,BT$2-1,$D9:$EE9)/12)*(1+XLOOKUP(BT$2,Assumptions!$C$94:$M$94,Assumptions!$C$97:$M$97)))</f>
        <v>15325.121</v>
      </c>
      <c r="BU9" s="54">
        <f t="array" ref="BU9">IF(BU$2=1,Assumptions!$X9/12,(SUMIF($D$2:$EE$2,BU$2-1,$D9:$EE9)/12)*(1+XLOOKUP(BU$2,Assumptions!$C$94:$M$94,Assumptions!$C$97:$M$97)))</f>
        <v>15325.121</v>
      </c>
      <c r="BV9" s="54">
        <f t="array" ref="BV9">IF(BV$2=1,Assumptions!$X9/12,(SUMIF($D$2:$EE$2,BV$2-1,$D9:$EE9)/12)*(1+XLOOKUP(BV$2,Assumptions!$C$94:$M$94,Assumptions!$C$97:$M$97)))</f>
        <v>15325.121</v>
      </c>
      <c r="BW9" s="54">
        <f t="array" ref="BW9">IF(BW$2=1,Assumptions!$X9/12,(SUMIF($D$2:$EE$2,BW$2-1,$D9:$EE9)/12)*(1+XLOOKUP(BW$2,Assumptions!$C$94:$M$94,Assumptions!$C$97:$M$97)))</f>
        <v>15325.121</v>
      </c>
      <c r="BX9" s="54">
        <f t="array" ref="BX9">IF(BX$2=1,Assumptions!$X9/12,(SUMIF($D$2:$EE$2,BX$2-1,$D9:$EE9)/12)*(1+XLOOKUP(BX$2,Assumptions!$C$94:$M$94,Assumptions!$C$97:$M$97)))</f>
        <v>15784.87463</v>
      </c>
      <c r="BY9" s="54">
        <f t="array" ref="BY9">IF(BY$2=1,Assumptions!$X9/12,(SUMIF($D$2:$EE$2,BY$2-1,$D9:$EE9)/12)*(1+XLOOKUP(BY$2,Assumptions!$C$94:$M$94,Assumptions!$C$97:$M$97)))</f>
        <v>15784.87463</v>
      </c>
      <c r="BZ9" s="54">
        <f t="array" ref="BZ9">IF(BZ$2=1,Assumptions!$X9/12,(SUMIF($D$2:$EE$2,BZ$2-1,$D9:$EE9)/12)*(1+XLOOKUP(BZ$2,Assumptions!$C$94:$M$94,Assumptions!$C$97:$M$97)))</f>
        <v>15784.87463</v>
      </c>
      <c r="CA9" s="54">
        <f t="array" ref="CA9">IF(CA$2=1,Assumptions!$X9/12,(SUMIF($D$2:$EE$2,CA$2-1,$D9:$EE9)/12)*(1+XLOOKUP(CA$2,Assumptions!$C$94:$M$94,Assumptions!$C$97:$M$97)))</f>
        <v>15784.87463</v>
      </c>
      <c r="CB9" s="54">
        <f t="array" ref="CB9">IF(CB$2=1,Assumptions!$X9/12,(SUMIF($D$2:$EE$2,CB$2-1,$D9:$EE9)/12)*(1+XLOOKUP(CB$2,Assumptions!$C$94:$M$94,Assumptions!$C$97:$M$97)))</f>
        <v>15784.87463</v>
      </c>
      <c r="CC9" s="54">
        <f t="array" ref="CC9">IF(CC$2=1,Assumptions!$X9/12,(SUMIF($D$2:$EE$2,CC$2-1,$D9:$EE9)/12)*(1+XLOOKUP(CC$2,Assumptions!$C$94:$M$94,Assumptions!$C$97:$M$97)))</f>
        <v>15784.87463</v>
      </c>
      <c r="CD9" s="54">
        <f t="array" ref="CD9">IF(CD$2=1,Assumptions!$X9/12,(SUMIF($D$2:$EE$2,CD$2-1,$D9:$EE9)/12)*(1+XLOOKUP(CD$2,Assumptions!$C$94:$M$94,Assumptions!$C$97:$M$97)))</f>
        <v>15784.87463</v>
      </c>
      <c r="CE9" s="54">
        <f t="array" ref="CE9">IF(CE$2=1,Assumptions!$X9/12,(SUMIF($D$2:$EE$2,CE$2-1,$D9:$EE9)/12)*(1+XLOOKUP(CE$2,Assumptions!$C$94:$M$94,Assumptions!$C$97:$M$97)))</f>
        <v>15784.87463</v>
      </c>
      <c r="CF9" s="54">
        <f t="array" ref="CF9">IF(CF$2=1,Assumptions!$X9/12,(SUMIF($D$2:$EE$2,CF$2-1,$D9:$EE9)/12)*(1+XLOOKUP(CF$2,Assumptions!$C$94:$M$94,Assumptions!$C$97:$M$97)))</f>
        <v>15784.87463</v>
      </c>
      <c r="CG9" s="54">
        <f t="array" ref="CG9">IF(CG$2=1,Assumptions!$X9/12,(SUMIF($D$2:$EE$2,CG$2-1,$D9:$EE9)/12)*(1+XLOOKUP(CG$2,Assumptions!$C$94:$M$94,Assumptions!$C$97:$M$97)))</f>
        <v>15784.87463</v>
      </c>
      <c r="CH9" s="54">
        <f t="array" ref="CH9">IF(CH$2=1,Assumptions!$X9/12,(SUMIF($D$2:$EE$2,CH$2-1,$D9:$EE9)/12)*(1+XLOOKUP(CH$2,Assumptions!$C$94:$M$94,Assumptions!$C$97:$M$97)))</f>
        <v>15784.87463</v>
      </c>
      <c r="CI9" s="54">
        <f t="array" ref="CI9">IF(CI$2=1,Assumptions!$X9/12,(SUMIF($D$2:$EE$2,CI$2-1,$D9:$EE9)/12)*(1+XLOOKUP(CI$2,Assumptions!$C$94:$M$94,Assumptions!$C$97:$M$97)))</f>
        <v>15784.87463</v>
      </c>
      <c r="CJ9" s="54">
        <f t="array" ref="CJ9">IF(CJ$2=1,Assumptions!$X9/12,(SUMIF($D$2:$EE$2,CJ$2-1,$D9:$EE9)/12)*(1+XLOOKUP(CJ$2,Assumptions!$C$94:$M$94,Assumptions!$C$97:$M$97)))</f>
        <v>16258.42087</v>
      </c>
      <c r="CK9" s="54">
        <f t="array" ref="CK9">IF(CK$2=1,Assumptions!$X9/12,(SUMIF($D$2:$EE$2,CK$2-1,$D9:$EE9)/12)*(1+XLOOKUP(CK$2,Assumptions!$C$94:$M$94,Assumptions!$C$97:$M$97)))</f>
        <v>16258.42087</v>
      </c>
      <c r="CL9" s="54">
        <f t="array" ref="CL9">IF(CL$2=1,Assumptions!$X9/12,(SUMIF($D$2:$EE$2,CL$2-1,$D9:$EE9)/12)*(1+XLOOKUP(CL$2,Assumptions!$C$94:$M$94,Assumptions!$C$97:$M$97)))</f>
        <v>16258.42087</v>
      </c>
      <c r="CM9" s="54">
        <f t="array" ref="CM9">IF(CM$2=1,Assumptions!$X9/12,(SUMIF($D$2:$EE$2,CM$2-1,$D9:$EE9)/12)*(1+XLOOKUP(CM$2,Assumptions!$C$94:$M$94,Assumptions!$C$97:$M$97)))</f>
        <v>16258.42087</v>
      </c>
      <c r="CN9" s="54">
        <f t="array" ref="CN9">IF(CN$2=1,Assumptions!$X9/12,(SUMIF($D$2:$EE$2,CN$2-1,$D9:$EE9)/12)*(1+XLOOKUP(CN$2,Assumptions!$C$94:$M$94,Assumptions!$C$97:$M$97)))</f>
        <v>16258.42087</v>
      </c>
      <c r="CO9" s="54">
        <f t="array" ref="CO9">IF(CO$2=1,Assumptions!$X9/12,(SUMIF($D$2:$EE$2,CO$2-1,$D9:$EE9)/12)*(1+XLOOKUP(CO$2,Assumptions!$C$94:$M$94,Assumptions!$C$97:$M$97)))</f>
        <v>16258.42087</v>
      </c>
      <c r="CP9" s="54">
        <f t="array" ref="CP9">IF(CP$2=1,Assumptions!$X9/12,(SUMIF($D$2:$EE$2,CP$2-1,$D9:$EE9)/12)*(1+XLOOKUP(CP$2,Assumptions!$C$94:$M$94,Assumptions!$C$97:$M$97)))</f>
        <v>16258.42087</v>
      </c>
      <c r="CQ9" s="54">
        <f t="array" ref="CQ9">IF(CQ$2=1,Assumptions!$X9/12,(SUMIF($D$2:$EE$2,CQ$2-1,$D9:$EE9)/12)*(1+XLOOKUP(CQ$2,Assumptions!$C$94:$M$94,Assumptions!$C$97:$M$97)))</f>
        <v>16258.42087</v>
      </c>
      <c r="CR9" s="54">
        <f t="array" ref="CR9">IF(CR$2=1,Assumptions!$X9/12,(SUMIF($D$2:$EE$2,CR$2-1,$D9:$EE9)/12)*(1+XLOOKUP(CR$2,Assumptions!$C$94:$M$94,Assumptions!$C$97:$M$97)))</f>
        <v>16258.42087</v>
      </c>
      <c r="CS9" s="54">
        <f t="array" ref="CS9">IF(CS$2=1,Assumptions!$X9/12,(SUMIF($D$2:$EE$2,CS$2-1,$D9:$EE9)/12)*(1+XLOOKUP(CS$2,Assumptions!$C$94:$M$94,Assumptions!$C$97:$M$97)))</f>
        <v>16258.42087</v>
      </c>
      <c r="CT9" s="54">
        <f t="array" ref="CT9">IF(CT$2=1,Assumptions!$X9/12,(SUMIF($D$2:$EE$2,CT$2-1,$D9:$EE9)/12)*(1+XLOOKUP(CT$2,Assumptions!$C$94:$M$94,Assumptions!$C$97:$M$97)))</f>
        <v>16258.42087</v>
      </c>
      <c r="CU9" s="54">
        <f t="array" ref="CU9">IF(CU$2=1,Assumptions!$X9/12,(SUMIF($D$2:$EE$2,CU$2-1,$D9:$EE9)/12)*(1+XLOOKUP(CU$2,Assumptions!$C$94:$M$94,Assumptions!$C$97:$M$97)))</f>
        <v>16258.42087</v>
      </c>
      <c r="CV9" s="54">
        <f t="array" ref="CV9">IF(CV$2=1,Assumptions!$X9/12,(SUMIF($D$2:$EE$2,CV$2-1,$D9:$EE9)/12)*(1+XLOOKUP(CV$2,Assumptions!$C$94:$M$94,Assumptions!$C$97:$M$97)))</f>
        <v>16746.1735</v>
      </c>
      <c r="CW9" s="54">
        <f t="array" ref="CW9">IF(CW$2=1,Assumptions!$X9/12,(SUMIF($D$2:$EE$2,CW$2-1,$D9:$EE9)/12)*(1+XLOOKUP(CW$2,Assumptions!$C$94:$M$94,Assumptions!$C$97:$M$97)))</f>
        <v>16746.1735</v>
      </c>
      <c r="CX9" s="54">
        <f t="array" ref="CX9">IF(CX$2=1,Assumptions!$X9/12,(SUMIF($D$2:$EE$2,CX$2-1,$D9:$EE9)/12)*(1+XLOOKUP(CX$2,Assumptions!$C$94:$M$94,Assumptions!$C$97:$M$97)))</f>
        <v>16746.1735</v>
      </c>
      <c r="CY9" s="54">
        <f t="array" ref="CY9">IF(CY$2=1,Assumptions!$X9/12,(SUMIF($D$2:$EE$2,CY$2-1,$D9:$EE9)/12)*(1+XLOOKUP(CY$2,Assumptions!$C$94:$M$94,Assumptions!$C$97:$M$97)))</f>
        <v>16746.1735</v>
      </c>
      <c r="CZ9" s="54">
        <f t="array" ref="CZ9">IF(CZ$2=1,Assumptions!$X9/12,(SUMIF($D$2:$EE$2,CZ$2-1,$D9:$EE9)/12)*(1+XLOOKUP(CZ$2,Assumptions!$C$94:$M$94,Assumptions!$C$97:$M$97)))</f>
        <v>16746.1735</v>
      </c>
      <c r="DA9" s="54">
        <f t="array" ref="DA9">IF(DA$2=1,Assumptions!$X9/12,(SUMIF($D$2:$EE$2,DA$2-1,$D9:$EE9)/12)*(1+XLOOKUP(DA$2,Assumptions!$C$94:$M$94,Assumptions!$C$97:$M$97)))</f>
        <v>16746.1735</v>
      </c>
      <c r="DB9" s="54">
        <f t="array" ref="DB9">IF(DB$2=1,Assumptions!$X9/12,(SUMIF($D$2:$EE$2,DB$2-1,$D9:$EE9)/12)*(1+XLOOKUP(DB$2,Assumptions!$C$94:$M$94,Assumptions!$C$97:$M$97)))</f>
        <v>16746.1735</v>
      </c>
      <c r="DC9" s="54">
        <f t="array" ref="DC9">IF(DC$2=1,Assumptions!$X9/12,(SUMIF($D$2:$EE$2,DC$2-1,$D9:$EE9)/12)*(1+XLOOKUP(DC$2,Assumptions!$C$94:$M$94,Assumptions!$C$97:$M$97)))</f>
        <v>16746.1735</v>
      </c>
      <c r="DD9" s="54">
        <f t="array" ref="DD9">IF(DD$2=1,Assumptions!$X9/12,(SUMIF($D$2:$EE$2,DD$2-1,$D9:$EE9)/12)*(1+XLOOKUP(DD$2,Assumptions!$C$94:$M$94,Assumptions!$C$97:$M$97)))</f>
        <v>16746.1735</v>
      </c>
      <c r="DE9" s="54">
        <f t="array" ref="DE9">IF(DE$2=1,Assumptions!$X9/12,(SUMIF($D$2:$EE$2,DE$2-1,$D9:$EE9)/12)*(1+XLOOKUP(DE$2,Assumptions!$C$94:$M$94,Assumptions!$C$97:$M$97)))</f>
        <v>16746.1735</v>
      </c>
      <c r="DF9" s="54">
        <f t="array" ref="DF9">IF(DF$2=1,Assumptions!$X9/12,(SUMIF($D$2:$EE$2,DF$2-1,$D9:$EE9)/12)*(1+XLOOKUP(DF$2,Assumptions!$C$94:$M$94,Assumptions!$C$97:$M$97)))</f>
        <v>16746.1735</v>
      </c>
      <c r="DG9" s="54">
        <f t="array" ref="DG9">IF(DG$2=1,Assumptions!$X9/12,(SUMIF($D$2:$EE$2,DG$2-1,$D9:$EE9)/12)*(1+XLOOKUP(DG$2,Assumptions!$C$94:$M$94,Assumptions!$C$97:$M$97)))</f>
        <v>16746.1735</v>
      </c>
      <c r="DH9" s="54">
        <f t="array" ref="DH9">IF(DH$2=1,Assumptions!$X9/12,(SUMIF($D$2:$EE$2,DH$2-1,$D9:$EE9)/12)*(1+XLOOKUP(DH$2,Assumptions!$C$94:$M$94,Assumptions!$C$97:$M$97)))</f>
        <v>17248.5587</v>
      </c>
      <c r="DI9" s="54">
        <f t="array" ref="DI9">IF(DI$2=1,Assumptions!$X9/12,(SUMIF($D$2:$EE$2,DI$2-1,$D9:$EE9)/12)*(1+XLOOKUP(DI$2,Assumptions!$C$94:$M$94,Assumptions!$C$97:$M$97)))</f>
        <v>17248.5587</v>
      </c>
      <c r="DJ9" s="54">
        <f t="array" ref="DJ9">IF(DJ$2=1,Assumptions!$X9/12,(SUMIF($D$2:$EE$2,DJ$2-1,$D9:$EE9)/12)*(1+XLOOKUP(DJ$2,Assumptions!$C$94:$M$94,Assumptions!$C$97:$M$97)))</f>
        <v>17248.5587</v>
      </c>
      <c r="DK9" s="54">
        <f t="array" ref="DK9">IF(DK$2=1,Assumptions!$X9/12,(SUMIF($D$2:$EE$2,DK$2-1,$D9:$EE9)/12)*(1+XLOOKUP(DK$2,Assumptions!$C$94:$M$94,Assumptions!$C$97:$M$97)))</f>
        <v>17248.5587</v>
      </c>
      <c r="DL9" s="54">
        <f t="array" ref="DL9">IF(DL$2=1,Assumptions!$X9/12,(SUMIF($D$2:$EE$2,DL$2-1,$D9:$EE9)/12)*(1+XLOOKUP(DL$2,Assumptions!$C$94:$M$94,Assumptions!$C$97:$M$97)))</f>
        <v>17248.5587</v>
      </c>
      <c r="DM9" s="54">
        <f t="array" ref="DM9">IF(DM$2=1,Assumptions!$X9/12,(SUMIF($D$2:$EE$2,DM$2-1,$D9:$EE9)/12)*(1+XLOOKUP(DM$2,Assumptions!$C$94:$M$94,Assumptions!$C$97:$M$97)))</f>
        <v>17248.5587</v>
      </c>
      <c r="DN9" s="54">
        <f t="array" ref="DN9">IF(DN$2=1,Assumptions!$X9/12,(SUMIF($D$2:$EE$2,DN$2-1,$D9:$EE9)/12)*(1+XLOOKUP(DN$2,Assumptions!$C$94:$M$94,Assumptions!$C$97:$M$97)))</f>
        <v>17248.5587</v>
      </c>
      <c r="DO9" s="54">
        <f t="array" ref="DO9">IF(DO$2=1,Assumptions!$X9/12,(SUMIF($D$2:$EE$2,DO$2-1,$D9:$EE9)/12)*(1+XLOOKUP(DO$2,Assumptions!$C$94:$M$94,Assumptions!$C$97:$M$97)))</f>
        <v>17248.5587</v>
      </c>
      <c r="DP9" s="54">
        <f t="array" ref="DP9">IF(DP$2=1,Assumptions!$X9/12,(SUMIF($D$2:$EE$2,DP$2-1,$D9:$EE9)/12)*(1+XLOOKUP(DP$2,Assumptions!$C$94:$M$94,Assumptions!$C$97:$M$97)))</f>
        <v>17248.5587</v>
      </c>
      <c r="DQ9" s="54">
        <f t="array" ref="DQ9">IF(DQ$2=1,Assumptions!$X9/12,(SUMIF($D$2:$EE$2,DQ$2-1,$D9:$EE9)/12)*(1+XLOOKUP(DQ$2,Assumptions!$C$94:$M$94,Assumptions!$C$97:$M$97)))</f>
        <v>17248.5587</v>
      </c>
      <c r="DR9" s="54">
        <f t="array" ref="DR9">IF(DR$2=1,Assumptions!$X9/12,(SUMIF($D$2:$EE$2,DR$2-1,$D9:$EE9)/12)*(1+XLOOKUP(DR$2,Assumptions!$C$94:$M$94,Assumptions!$C$97:$M$97)))</f>
        <v>17248.5587</v>
      </c>
      <c r="DS9" s="54">
        <f t="array" ref="DS9">IF(DS$2=1,Assumptions!$X9/12,(SUMIF($D$2:$EE$2,DS$2-1,$D9:$EE9)/12)*(1+XLOOKUP(DS$2,Assumptions!$C$94:$M$94,Assumptions!$C$97:$M$97)))</f>
        <v>17248.5587</v>
      </c>
      <c r="DT9" s="54">
        <f t="array" ref="DT9">IF(DT$2=1,Assumptions!$X9/12,(SUMIF($D$2:$EE$2,DT$2-1,$D9:$EE9)/12)*(1+XLOOKUP(DT$2,Assumptions!$C$94:$M$94,Assumptions!$C$97:$M$97)))</f>
        <v>17766.01547</v>
      </c>
      <c r="DU9" s="54">
        <f t="array" ref="DU9">IF(DU$2=1,Assumptions!$X9/12,(SUMIF($D$2:$EE$2,DU$2-1,$D9:$EE9)/12)*(1+XLOOKUP(DU$2,Assumptions!$C$94:$M$94,Assumptions!$C$97:$M$97)))</f>
        <v>17766.01547</v>
      </c>
      <c r="DV9" s="54">
        <f t="array" ref="DV9">IF(DV$2=1,Assumptions!$X9/12,(SUMIF($D$2:$EE$2,DV$2-1,$D9:$EE9)/12)*(1+XLOOKUP(DV$2,Assumptions!$C$94:$M$94,Assumptions!$C$97:$M$97)))</f>
        <v>17766.01547</v>
      </c>
      <c r="DW9" s="54">
        <f t="array" ref="DW9">IF(DW$2=1,Assumptions!$X9/12,(SUMIF($D$2:$EE$2,DW$2-1,$D9:$EE9)/12)*(1+XLOOKUP(DW$2,Assumptions!$C$94:$M$94,Assumptions!$C$97:$M$97)))</f>
        <v>17766.01547</v>
      </c>
      <c r="DX9" s="54">
        <f t="array" ref="DX9">IF(DX$2=1,Assumptions!$X9/12,(SUMIF($D$2:$EE$2,DX$2-1,$D9:$EE9)/12)*(1+XLOOKUP(DX$2,Assumptions!$C$94:$M$94,Assumptions!$C$97:$M$97)))</f>
        <v>17766.01547</v>
      </c>
      <c r="DY9" s="54">
        <f t="array" ref="DY9">IF(DY$2=1,Assumptions!$X9/12,(SUMIF($D$2:$EE$2,DY$2-1,$D9:$EE9)/12)*(1+XLOOKUP(DY$2,Assumptions!$C$94:$M$94,Assumptions!$C$97:$M$97)))</f>
        <v>17766.01547</v>
      </c>
      <c r="DZ9" s="54">
        <f t="array" ref="DZ9">IF(DZ$2=1,Assumptions!$X9/12,(SUMIF($D$2:$EE$2,DZ$2-1,$D9:$EE9)/12)*(1+XLOOKUP(DZ$2,Assumptions!$C$94:$M$94,Assumptions!$C$97:$M$97)))</f>
        <v>17766.01547</v>
      </c>
      <c r="EA9" s="54">
        <f t="array" ref="EA9">IF(EA$2=1,Assumptions!$X9/12,(SUMIF($D$2:$EE$2,EA$2-1,$D9:$EE9)/12)*(1+XLOOKUP(EA$2,Assumptions!$C$94:$M$94,Assumptions!$C$97:$M$97)))</f>
        <v>17766.01547</v>
      </c>
      <c r="EB9" s="54">
        <f t="array" ref="EB9">IF(EB$2=1,Assumptions!$X9/12,(SUMIF($D$2:$EE$2,EB$2-1,$D9:$EE9)/12)*(1+XLOOKUP(EB$2,Assumptions!$C$94:$M$94,Assumptions!$C$97:$M$97)))</f>
        <v>17766.01547</v>
      </c>
      <c r="EC9" s="54">
        <f t="array" ref="EC9">IF(EC$2=1,Assumptions!$X9/12,(SUMIF($D$2:$EE$2,EC$2-1,$D9:$EE9)/12)*(1+XLOOKUP(EC$2,Assumptions!$C$94:$M$94,Assumptions!$C$97:$M$97)))</f>
        <v>17766.01547</v>
      </c>
      <c r="ED9" s="54">
        <f t="array" ref="ED9">IF(ED$2=1,Assumptions!$X9/12,(SUMIF($D$2:$EE$2,ED$2-1,$D9:$EE9)/12)*(1+XLOOKUP(ED$2,Assumptions!$C$94:$M$94,Assumptions!$C$97:$M$97)))</f>
        <v>17766.01547</v>
      </c>
      <c r="EE9" s="54">
        <f t="array" ref="EE9">IF(EE$2=1,Assumptions!$X9/12,(SUMIF($D$2:$EE$2,EE$2-1,$D9:$EE9)/12)*(1+XLOOKUP(EE$2,Assumptions!$C$94:$M$94,Assumptions!$C$97:$M$97)))</f>
        <v>17766.01547</v>
      </c>
    </row>
    <row r="10" ht="15.75" customHeight="1">
      <c r="A10" s="1"/>
      <c r="B10" s="1"/>
      <c r="C10" s="1" t="str">
        <f>Assumptions!R10</f>
        <v>4x3</v>
      </c>
      <c r="D10" s="54">
        <f t="array" ref="D10">IF(D$2=1,Assumptions!$X10/12,(SUMIF($D$2:$EE$2,D$2-1,$D10:$EE10)/12)*(1+XLOOKUP(D$2,Assumptions!$C$94:$M$94,Assumptions!$C$97:$M$97)))</f>
        <v>13423.2</v>
      </c>
      <c r="E10" s="54">
        <f t="array" ref="E10">IF(E$2=1,Assumptions!$X10/12,(SUMIF($D$2:$EE$2,E$2-1,$D10:$EE10)/12)*(1+XLOOKUP(E$2,Assumptions!$C$94:$M$94,Assumptions!$C$97:$M$97)))</f>
        <v>13423.2</v>
      </c>
      <c r="F10" s="54">
        <f t="array" ref="F10">IF(F$2=1,Assumptions!$X10/12,(SUMIF($D$2:$EE$2,F$2-1,$D10:$EE10)/12)*(1+XLOOKUP(F$2,Assumptions!$C$94:$M$94,Assumptions!$C$97:$M$97)))</f>
        <v>13423.2</v>
      </c>
      <c r="G10" s="54">
        <f t="array" ref="G10">IF(G$2=1,Assumptions!$X10/12,(SUMIF($D$2:$EE$2,G$2-1,$D10:$EE10)/12)*(1+XLOOKUP(G$2,Assumptions!$C$94:$M$94,Assumptions!$C$97:$M$97)))</f>
        <v>13423.2</v>
      </c>
      <c r="H10" s="54">
        <f t="array" ref="H10">IF(H$2=1,Assumptions!$X10/12,(SUMIF($D$2:$EE$2,H$2-1,$D10:$EE10)/12)*(1+XLOOKUP(H$2,Assumptions!$C$94:$M$94,Assumptions!$C$97:$M$97)))</f>
        <v>13423.2</v>
      </c>
      <c r="I10" s="54">
        <f t="array" ref="I10">IF(I$2=1,Assumptions!$X10/12,(SUMIF($D$2:$EE$2,I$2-1,$D10:$EE10)/12)*(1+XLOOKUP(I$2,Assumptions!$C$94:$M$94,Assumptions!$C$97:$M$97)))</f>
        <v>13423.2</v>
      </c>
      <c r="J10" s="54">
        <f t="array" ref="J10">IF(J$2=1,Assumptions!$X10/12,(SUMIF($D$2:$EE$2,J$2-1,$D10:$EE10)/12)*(1+XLOOKUP(J$2,Assumptions!$C$94:$M$94,Assumptions!$C$97:$M$97)))</f>
        <v>13423.2</v>
      </c>
      <c r="K10" s="54">
        <f t="array" ref="K10">IF(K$2=1,Assumptions!$X10/12,(SUMIF($D$2:$EE$2,K$2-1,$D10:$EE10)/12)*(1+XLOOKUP(K$2,Assumptions!$C$94:$M$94,Assumptions!$C$97:$M$97)))</f>
        <v>13423.2</v>
      </c>
      <c r="L10" s="54">
        <f t="array" ref="L10">IF(L$2=1,Assumptions!$X10/12,(SUMIF($D$2:$EE$2,L$2-1,$D10:$EE10)/12)*(1+XLOOKUP(L$2,Assumptions!$C$94:$M$94,Assumptions!$C$97:$M$97)))</f>
        <v>13423.2</v>
      </c>
      <c r="M10" s="54">
        <f t="array" ref="M10">IF(M$2=1,Assumptions!$X10/12,(SUMIF($D$2:$EE$2,M$2-1,$D10:$EE10)/12)*(1+XLOOKUP(M$2,Assumptions!$C$94:$M$94,Assumptions!$C$97:$M$97)))</f>
        <v>13423.2</v>
      </c>
      <c r="N10" s="54">
        <f t="array" ref="N10">IF(N$2=1,Assumptions!$X10/12,(SUMIF($D$2:$EE$2,N$2-1,$D10:$EE10)/12)*(1+XLOOKUP(N$2,Assumptions!$C$94:$M$94,Assumptions!$C$97:$M$97)))</f>
        <v>13423.2</v>
      </c>
      <c r="O10" s="54">
        <f t="array" ref="O10">IF(O$2=1,Assumptions!$X10/12,(SUMIF($D$2:$EE$2,O$2-1,$D10:$EE10)/12)*(1+XLOOKUP(O$2,Assumptions!$C$94:$M$94,Assumptions!$C$97:$M$97)))</f>
        <v>13423.2</v>
      </c>
      <c r="P10" s="54">
        <f t="array" ref="P10">IF(P$2=1,Assumptions!$X10/12,(SUMIF($D$2:$EE$2,P$2-1,$D10:$EE10)/12)*(1+XLOOKUP(P$2,Assumptions!$C$94:$M$94,Assumptions!$C$97:$M$97)))</f>
        <v>13825.896</v>
      </c>
      <c r="Q10" s="54">
        <f t="array" ref="Q10">IF(Q$2=1,Assumptions!$X10/12,(SUMIF($D$2:$EE$2,Q$2-1,$D10:$EE10)/12)*(1+XLOOKUP(Q$2,Assumptions!$C$94:$M$94,Assumptions!$C$97:$M$97)))</f>
        <v>13825.896</v>
      </c>
      <c r="R10" s="54">
        <f t="array" ref="R10">IF(R$2=1,Assumptions!$X10/12,(SUMIF($D$2:$EE$2,R$2-1,$D10:$EE10)/12)*(1+XLOOKUP(R$2,Assumptions!$C$94:$M$94,Assumptions!$C$97:$M$97)))</f>
        <v>13825.896</v>
      </c>
      <c r="S10" s="54">
        <f t="array" ref="S10">IF(S$2=1,Assumptions!$X10/12,(SUMIF($D$2:$EE$2,S$2-1,$D10:$EE10)/12)*(1+XLOOKUP(S$2,Assumptions!$C$94:$M$94,Assumptions!$C$97:$M$97)))</f>
        <v>13825.896</v>
      </c>
      <c r="T10" s="54">
        <f t="array" ref="T10">IF(T$2=1,Assumptions!$X10/12,(SUMIF($D$2:$EE$2,T$2-1,$D10:$EE10)/12)*(1+XLOOKUP(T$2,Assumptions!$C$94:$M$94,Assumptions!$C$97:$M$97)))</f>
        <v>13825.896</v>
      </c>
      <c r="U10" s="54">
        <f t="array" ref="U10">IF(U$2=1,Assumptions!$X10/12,(SUMIF($D$2:$EE$2,U$2-1,$D10:$EE10)/12)*(1+XLOOKUP(U$2,Assumptions!$C$94:$M$94,Assumptions!$C$97:$M$97)))</f>
        <v>13825.896</v>
      </c>
      <c r="V10" s="54">
        <f t="array" ref="V10">IF(V$2=1,Assumptions!$X10/12,(SUMIF($D$2:$EE$2,V$2-1,$D10:$EE10)/12)*(1+XLOOKUP(V$2,Assumptions!$C$94:$M$94,Assumptions!$C$97:$M$97)))</f>
        <v>13825.896</v>
      </c>
      <c r="W10" s="54">
        <f t="array" ref="W10">IF(W$2=1,Assumptions!$X10/12,(SUMIF($D$2:$EE$2,W$2-1,$D10:$EE10)/12)*(1+XLOOKUP(W$2,Assumptions!$C$94:$M$94,Assumptions!$C$97:$M$97)))</f>
        <v>13825.896</v>
      </c>
      <c r="X10" s="54">
        <f t="array" ref="X10">IF(X$2=1,Assumptions!$X10/12,(SUMIF($D$2:$EE$2,X$2-1,$D10:$EE10)/12)*(1+XLOOKUP(X$2,Assumptions!$C$94:$M$94,Assumptions!$C$97:$M$97)))</f>
        <v>13825.896</v>
      </c>
      <c r="Y10" s="54">
        <f t="array" ref="Y10">IF(Y$2=1,Assumptions!$X10/12,(SUMIF($D$2:$EE$2,Y$2-1,$D10:$EE10)/12)*(1+XLOOKUP(Y$2,Assumptions!$C$94:$M$94,Assumptions!$C$97:$M$97)))</f>
        <v>13825.896</v>
      </c>
      <c r="Z10" s="54">
        <f t="array" ref="Z10">IF(Z$2=1,Assumptions!$X10/12,(SUMIF($D$2:$EE$2,Z$2-1,$D10:$EE10)/12)*(1+XLOOKUP(Z$2,Assumptions!$C$94:$M$94,Assumptions!$C$97:$M$97)))</f>
        <v>13825.896</v>
      </c>
      <c r="AA10" s="54">
        <f t="array" ref="AA10">IF(AA$2=1,Assumptions!$X10/12,(SUMIF($D$2:$EE$2,AA$2-1,$D10:$EE10)/12)*(1+XLOOKUP(AA$2,Assumptions!$C$94:$M$94,Assumptions!$C$97:$M$97)))</f>
        <v>13825.896</v>
      </c>
      <c r="AB10" s="54">
        <f t="array" ref="AB10">IF(AB$2=1,Assumptions!$X10/12,(SUMIF($D$2:$EE$2,AB$2-1,$D10:$EE10)/12)*(1+XLOOKUP(AB$2,Assumptions!$C$94:$M$94,Assumptions!$C$97:$M$97)))</f>
        <v>14240.67288</v>
      </c>
      <c r="AC10" s="54">
        <f t="array" ref="AC10">IF(AC$2=1,Assumptions!$X10/12,(SUMIF($D$2:$EE$2,AC$2-1,$D10:$EE10)/12)*(1+XLOOKUP(AC$2,Assumptions!$C$94:$M$94,Assumptions!$C$97:$M$97)))</f>
        <v>14240.67288</v>
      </c>
      <c r="AD10" s="54">
        <f t="array" ref="AD10">IF(AD$2=1,Assumptions!$X10/12,(SUMIF($D$2:$EE$2,AD$2-1,$D10:$EE10)/12)*(1+XLOOKUP(AD$2,Assumptions!$C$94:$M$94,Assumptions!$C$97:$M$97)))</f>
        <v>14240.67288</v>
      </c>
      <c r="AE10" s="54">
        <f t="array" ref="AE10">IF(AE$2=1,Assumptions!$X10/12,(SUMIF($D$2:$EE$2,AE$2-1,$D10:$EE10)/12)*(1+XLOOKUP(AE$2,Assumptions!$C$94:$M$94,Assumptions!$C$97:$M$97)))</f>
        <v>14240.67288</v>
      </c>
      <c r="AF10" s="54">
        <f t="array" ref="AF10">IF(AF$2=1,Assumptions!$X10/12,(SUMIF($D$2:$EE$2,AF$2-1,$D10:$EE10)/12)*(1+XLOOKUP(AF$2,Assumptions!$C$94:$M$94,Assumptions!$C$97:$M$97)))</f>
        <v>14240.67288</v>
      </c>
      <c r="AG10" s="54">
        <f t="array" ref="AG10">IF(AG$2=1,Assumptions!$X10/12,(SUMIF($D$2:$EE$2,AG$2-1,$D10:$EE10)/12)*(1+XLOOKUP(AG$2,Assumptions!$C$94:$M$94,Assumptions!$C$97:$M$97)))</f>
        <v>14240.67288</v>
      </c>
      <c r="AH10" s="54">
        <f t="array" ref="AH10">IF(AH$2=1,Assumptions!$X10/12,(SUMIF($D$2:$EE$2,AH$2-1,$D10:$EE10)/12)*(1+XLOOKUP(AH$2,Assumptions!$C$94:$M$94,Assumptions!$C$97:$M$97)))</f>
        <v>14240.67288</v>
      </c>
      <c r="AI10" s="54">
        <f t="array" ref="AI10">IF(AI$2=1,Assumptions!$X10/12,(SUMIF($D$2:$EE$2,AI$2-1,$D10:$EE10)/12)*(1+XLOOKUP(AI$2,Assumptions!$C$94:$M$94,Assumptions!$C$97:$M$97)))</f>
        <v>14240.67288</v>
      </c>
      <c r="AJ10" s="54">
        <f t="array" ref="AJ10">IF(AJ$2=1,Assumptions!$X10/12,(SUMIF($D$2:$EE$2,AJ$2-1,$D10:$EE10)/12)*(1+XLOOKUP(AJ$2,Assumptions!$C$94:$M$94,Assumptions!$C$97:$M$97)))</f>
        <v>14240.67288</v>
      </c>
      <c r="AK10" s="54">
        <f t="array" ref="AK10">IF(AK$2=1,Assumptions!$X10/12,(SUMIF($D$2:$EE$2,AK$2-1,$D10:$EE10)/12)*(1+XLOOKUP(AK$2,Assumptions!$C$94:$M$94,Assumptions!$C$97:$M$97)))</f>
        <v>14240.67288</v>
      </c>
      <c r="AL10" s="54">
        <f t="array" ref="AL10">IF(AL$2=1,Assumptions!$X10/12,(SUMIF($D$2:$EE$2,AL$2-1,$D10:$EE10)/12)*(1+XLOOKUP(AL$2,Assumptions!$C$94:$M$94,Assumptions!$C$97:$M$97)))</f>
        <v>14240.67288</v>
      </c>
      <c r="AM10" s="54">
        <f t="array" ref="AM10">IF(AM$2=1,Assumptions!$X10/12,(SUMIF($D$2:$EE$2,AM$2-1,$D10:$EE10)/12)*(1+XLOOKUP(AM$2,Assumptions!$C$94:$M$94,Assumptions!$C$97:$M$97)))</f>
        <v>14240.67288</v>
      </c>
      <c r="AN10" s="54">
        <f t="array" ref="AN10">IF(AN$2=1,Assumptions!$X10/12,(SUMIF($D$2:$EE$2,AN$2-1,$D10:$EE10)/12)*(1+XLOOKUP(AN$2,Assumptions!$C$94:$M$94,Assumptions!$C$97:$M$97)))</f>
        <v>14667.89307</v>
      </c>
      <c r="AO10" s="54">
        <f t="array" ref="AO10">IF(AO$2=1,Assumptions!$X10/12,(SUMIF($D$2:$EE$2,AO$2-1,$D10:$EE10)/12)*(1+XLOOKUP(AO$2,Assumptions!$C$94:$M$94,Assumptions!$C$97:$M$97)))</f>
        <v>14667.89307</v>
      </c>
      <c r="AP10" s="54">
        <f t="array" ref="AP10">IF(AP$2=1,Assumptions!$X10/12,(SUMIF($D$2:$EE$2,AP$2-1,$D10:$EE10)/12)*(1+XLOOKUP(AP$2,Assumptions!$C$94:$M$94,Assumptions!$C$97:$M$97)))</f>
        <v>14667.89307</v>
      </c>
      <c r="AQ10" s="54">
        <f t="array" ref="AQ10">IF(AQ$2=1,Assumptions!$X10/12,(SUMIF($D$2:$EE$2,AQ$2-1,$D10:$EE10)/12)*(1+XLOOKUP(AQ$2,Assumptions!$C$94:$M$94,Assumptions!$C$97:$M$97)))</f>
        <v>14667.89307</v>
      </c>
      <c r="AR10" s="54">
        <f t="array" ref="AR10">IF(AR$2=1,Assumptions!$X10/12,(SUMIF($D$2:$EE$2,AR$2-1,$D10:$EE10)/12)*(1+XLOOKUP(AR$2,Assumptions!$C$94:$M$94,Assumptions!$C$97:$M$97)))</f>
        <v>14667.89307</v>
      </c>
      <c r="AS10" s="54">
        <f t="array" ref="AS10">IF(AS$2=1,Assumptions!$X10/12,(SUMIF($D$2:$EE$2,AS$2-1,$D10:$EE10)/12)*(1+XLOOKUP(AS$2,Assumptions!$C$94:$M$94,Assumptions!$C$97:$M$97)))</f>
        <v>14667.89307</v>
      </c>
      <c r="AT10" s="54">
        <f t="array" ref="AT10">IF(AT$2=1,Assumptions!$X10/12,(SUMIF($D$2:$EE$2,AT$2-1,$D10:$EE10)/12)*(1+XLOOKUP(AT$2,Assumptions!$C$94:$M$94,Assumptions!$C$97:$M$97)))</f>
        <v>14667.89307</v>
      </c>
      <c r="AU10" s="54">
        <f t="array" ref="AU10">IF(AU$2=1,Assumptions!$X10/12,(SUMIF($D$2:$EE$2,AU$2-1,$D10:$EE10)/12)*(1+XLOOKUP(AU$2,Assumptions!$C$94:$M$94,Assumptions!$C$97:$M$97)))</f>
        <v>14667.89307</v>
      </c>
      <c r="AV10" s="54">
        <f t="array" ref="AV10">IF(AV$2=1,Assumptions!$X10/12,(SUMIF($D$2:$EE$2,AV$2-1,$D10:$EE10)/12)*(1+XLOOKUP(AV$2,Assumptions!$C$94:$M$94,Assumptions!$C$97:$M$97)))</f>
        <v>14667.89307</v>
      </c>
      <c r="AW10" s="54">
        <f t="array" ref="AW10">IF(AW$2=1,Assumptions!$X10/12,(SUMIF($D$2:$EE$2,AW$2-1,$D10:$EE10)/12)*(1+XLOOKUP(AW$2,Assumptions!$C$94:$M$94,Assumptions!$C$97:$M$97)))</f>
        <v>14667.89307</v>
      </c>
      <c r="AX10" s="54">
        <f t="array" ref="AX10">IF(AX$2=1,Assumptions!$X10/12,(SUMIF($D$2:$EE$2,AX$2-1,$D10:$EE10)/12)*(1+XLOOKUP(AX$2,Assumptions!$C$94:$M$94,Assumptions!$C$97:$M$97)))</f>
        <v>14667.89307</v>
      </c>
      <c r="AY10" s="54">
        <f t="array" ref="AY10">IF(AY$2=1,Assumptions!$X10/12,(SUMIF($D$2:$EE$2,AY$2-1,$D10:$EE10)/12)*(1+XLOOKUP(AY$2,Assumptions!$C$94:$M$94,Assumptions!$C$97:$M$97)))</f>
        <v>14667.89307</v>
      </c>
      <c r="AZ10" s="54">
        <f t="array" ref="AZ10">IF(AZ$2=1,Assumptions!$X10/12,(SUMIF($D$2:$EE$2,AZ$2-1,$D10:$EE10)/12)*(1+XLOOKUP(AZ$2,Assumptions!$C$94:$M$94,Assumptions!$C$97:$M$97)))</f>
        <v>15107.92986</v>
      </c>
      <c r="BA10" s="54">
        <f t="array" ref="BA10">IF(BA$2=1,Assumptions!$X10/12,(SUMIF($D$2:$EE$2,BA$2-1,$D10:$EE10)/12)*(1+XLOOKUP(BA$2,Assumptions!$C$94:$M$94,Assumptions!$C$97:$M$97)))</f>
        <v>15107.92986</v>
      </c>
      <c r="BB10" s="54">
        <f t="array" ref="BB10">IF(BB$2=1,Assumptions!$X10/12,(SUMIF($D$2:$EE$2,BB$2-1,$D10:$EE10)/12)*(1+XLOOKUP(BB$2,Assumptions!$C$94:$M$94,Assumptions!$C$97:$M$97)))</f>
        <v>15107.92986</v>
      </c>
      <c r="BC10" s="54">
        <f t="array" ref="BC10">IF(BC$2=1,Assumptions!$X10/12,(SUMIF($D$2:$EE$2,BC$2-1,$D10:$EE10)/12)*(1+XLOOKUP(BC$2,Assumptions!$C$94:$M$94,Assumptions!$C$97:$M$97)))</f>
        <v>15107.92986</v>
      </c>
      <c r="BD10" s="54">
        <f t="array" ref="BD10">IF(BD$2=1,Assumptions!$X10/12,(SUMIF($D$2:$EE$2,BD$2-1,$D10:$EE10)/12)*(1+XLOOKUP(BD$2,Assumptions!$C$94:$M$94,Assumptions!$C$97:$M$97)))</f>
        <v>15107.92986</v>
      </c>
      <c r="BE10" s="54">
        <f t="array" ref="BE10">IF(BE$2=1,Assumptions!$X10/12,(SUMIF($D$2:$EE$2,BE$2-1,$D10:$EE10)/12)*(1+XLOOKUP(BE$2,Assumptions!$C$94:$M$94,Assumptions!$C$97:$M$97)))</f>
        <v>15107.92986</v>
      </c>
      <c r="BF10" s="54">
        <f t="array" ref="BF10">IF(BF$2=1,Assumptions!$X10/12,(SUMIF($D$2:$EE$2,BF$2-1,$D10:$EE10)/12)*(1+XLOOKUP(BF$2,Assumptions!$C$94:$M$94,Assumptions!$C$97:$M$97)))</f>
        <v>15107.92986</v>
      </c>
      <c r="BG10" s="54">
        <f t="array" ref="BG10">IF(BG$2=1,Assumptions!$X10/12,(SUMIF($D$2:$EE$2,BG$2-1,$D10:$EE10)/12)*(1+XLOOKUP(BG$2,Assumptions!$C$94:$M$94,Assumptions!$C$97:$M$97)))</f>
        <v>15107.92986</v>
      </c>
      <c r="BH10" s="54">
        <f t="array" ref="BH10">IF(BH$2=1,Assumptions!$X10/12,(SUMIF($D$2:$EE$2,BH$2-1,$D10:$EE10)/12)*(1+XLOOKUP(BH$2,Assumptions!$C$94:$M$94,Assumptions!$C$97:$M$97)))</f>
        <v>15107.92986</v>
      </c>
      <c r="BI10" s="54">
        <f t="array" ref="BI10">IF(BI$2=1,Assumptions!$X10/12,(SUMIF($D$2:$EE$2,BI$2-1,$D10:$EE10)/12)*(1+XLOOKUP(BI$2,Assumptions!$C$94:$M$94,Assumptions!$C$97:$M$97)))</f>
        <v>15107.92986</v>
      </c>
      <c r="BJ10" s="54">
        <f t="array" ref="BJ10">IF(BJ$2=1,Assumptions!$X10/12,(SUMIF($D$2:$EE$2,BJ$2-1,$D10:$EE10)/12)*(1+XLOOKUP(BJ$2,Assumptions!$C$94:$M$94,Assumptions!$C$97:$M$97)))</f>
        <v>15107.92986</v>
      </c>
      <c r="BK10" s="54">
        <f t="array" ref="BK10">IF(BK$2=1,Assumptions!$X10/12,(SUMIF($D$2:$EE$2,BK$2-1,$D10:$EE10)/12)*(1+XLOOKUP(BK$2,Assumptions!$C$94:$M$94,Assumptions!$C$97:$M$97)))</f>
        <v>15107.92986</v>
      </c>
      <c r="BL10" s="54">
        <f t="array" ref="BL10">IF(BL$2=1,Assumptions!$X10/12,(SUMIF($D$2:$EE$2,BL$2-1,$D10:$EE10)/12)*(1+XLOOKUP(BL$2,Assumptions!$C$94:$M$94,Assumptions!$C$97:$M$97)))</f>
        <v>15561.16775</v>
      </c>
      <c r="BM10" s="54">
        <f t="array" ref="BM10">IF(BM$2=1,Assumptions!$X10/12,(SUMIF($D$2:$EE$2,BM$2-1,$D10:$EE10)/12)*(1+XLOOKUP(BM$2,Assumptions!$C$94:$M$94,Assumptions!$C$97:$M$97)))</f>
        <v>15561.16775</v>
      </c>
      <c r="BN10" s="54">
        <f t="array" ref="BN10">IF(BN$2=1,Assumptions!$X10/12,(SUMIF($D$2:$EE$2,BN$2-1,$D10:$EE10)/12)*(1+XLOOKUP(BN$2,Assumptions!$C$94:$M$94,Assumptions!$C$97:$M$97)))</f>
        <v>15561.16775</v>
      </c>
      <c r="BO10" s="54">
        <f t="array" ref="BO10">IF(BO$2=1,Assumptions!$X10/12,(SUMIF($D$2:$EE$2,BO$2-1,$D10:$EE10)/12)*(1+XLOOKUP(BO$2,Assumptions!$C$94:$M$94,Assumptions!$C$97:$M$97)))</f>
        <v>15561.16775</v>
      </c>
      <c r="BP10" s="54">
        <f t="array" ref="BP10">IF(BP$2=1,Assumptions!$X10/12,(SUMIF($D$2:$EE$2,BP$2-1,$D10:$EE10)/12)*(1+XLOOKUP(BP$2,Assumptions!$C$94:$M$94,Assumptions!$C$97:$M$97)))</f>
        <v>15561.16775</v>
      </c>
      <c r="BQ10" s="54">
        <f t="array" ref="BQ10">IF(BQ$2=1,Assumptions!$X10/12,(SUMIF($D$2:$EE$2,BQ$2-1,$D10:$EE10)/12)*(1+XLOOKUP(BQ$2,Assumptions!$C$94:$M$94,Assumptions!$C$97:$M$97)))</f>
        <v>15561.16775</v>
      </c>
      <c r="BR10" s="54">
        <f t="array" ref="BR10">IF(BR$2=1,Assumptions!$X10/12,(SUMIF($D$2:$EE$2,BR$2-1,$D10:$EE10)/12)*(1+XLOOKUP(BR$2,Assumptions!$C$94:$M$94,Assumptions!$C$97:$M$97)))</f>
        <v>15561.16775</v>
      </c>
      <c r="BS10" s="54">
        <f t="array" ref="BS10">IF(BS$2=1,Assumptions!$X10/12,(SUMIF($D$2:$EE$2,BS$2-1,$D10:$EE10)/12)*(1+XLOOKUP(BS$2,Assumptions!$C$94:$M$94,Assumptions!$C$97:$M$97)))</f>
        <v>15561.16775</v>
      </c>
      <c r="BT10" s="54">
        <f t="array" ref="BT10">IF(BT$2=1,Assumptions!$X10/12,(SUMIF($D$2:$EE$2,BT$2-1,$D10:$EE10)/12)*(1+XLOOKUP(BT$2,Assumptions!$C$94:$M$94,Assumptions!$C$97:$M$97)))</f>
        <v>15561.16775</v>
      </c>
      <c r="BU10" s="54">
        <f t="array" ref="BU10">IF(BU$2=1,Assumptions!$X10/12,(SUMIF($D$2:$EE$2,BU$2-1,$D10:$EE10)/12)*(1+XLOOKUP(BU$2,Assumptions!$C$94:$M$94,Assumptions!$C$97:$M$97)))</f>
        <v>15561.16775</v>
      </c>
      <c r="BV10" s="54">
        <f t="array" ref="BV10">IF(BV$2=1,Assumptions!$X10/12,(SUMIF($D$2:$EE$2,BV$2-1,$D10:$EE10)/12)*(1+XLOOKUP(BV$2,Assumptions!$C$94:$M$94,Assumptions!$C$97:$M$97)))</f>
        <v>15561.16775</v>
      </c>
      <c r="BW10" s="54">
        <f t="array" ref="BW10">IF(BW$2=1,Assumptions!$X10/12,(SUMIF($D$2:$EE$2,BW$2-1,$D10:$EE10)/12)*(1+XLOOKUP(BW$2,Assumptions!$C$94:$M$94,Assumptions!$C$97:$M$97)))</f>
        <v>15561.16775</v>
      </c>
      <c r="BX10" s="54">
        <f t="array" ref="BX10">IF(BX$2=1,Assumptions!$X10/12,(SUMIF($D$2:$EE$2,BX$2-1,$D10:$EE10)/12)*(1+XLOOKUP(BX$2,Assumptions!$C$94:$M$94,Assumptions!$C$97:$M$97)))</f>
        <v>16028.00279</v>
      </c>
      <c r="BY10" s="54">
        <f t="array" ref="BY10">IF(BY$2=1,Assumptions!$X10/12,(SUMIF($D$2:$EE$2,BY$2-1,$D10:$EE10)/12)*(1+XLOOKUP(BY$2,Assumptions!$C$94:$M$94,Assumptions!$C$97:$M$97)))</f>
        <v>16028.00279</v>
      </c>
      <c r="BZ10" s="54">
        <f t="array" ref="BZ10">IF(BZ$2=1,Assumptions!$X10/12,(SUMIF($D$2:$EE$2,BZ$2-1,$D10:$EE10)/12)*(1+XLOOKUP(BZ$2,Assumptions!$C$94:$M$94,Assumptions!$C$97:$M$97)))</f>
        <v>16028.00279</v>
      </c>
      <c r="CA10" s="54">
        <f t="array" ref="CA10">IF(CA$2=1,Assumptions!$X10/12,(SUMIF($D$2:$EE$2,CA$2-1,$D10:$EE10)/12)*(1+XLOOKUP(CA$2,Assumptions!$C$94:$M$94,Assumptions!$C$97:$M$97)))</f>
        <v>16028.00279</v>
      </c>
      <c r="CB10" s="54">
        <f t="array" ref="CB10">IF(CB$2=1,Assumptions!$X10/12,(SUMIF($D$2:$EE$2,CB$2-1,$D10:$EE10)/12)*(1+XLOOKUP(CB$2,Assumptions!$C$94:$M$94,Assumptions!$C$97:$M$97)))</f>
        <v>16028.00279</v>
      </c>
      <c r="CC10" s="54">
        <f t="array" ref="CC10">IF(CC$2=1,Assumptions!$X10/12,(SUMIF($D$2:$EE$2,CC$2-1,$D10:$EE10)/12)*(1+XLOOKUP(CC$2,Assumptions!$C$94:$M$94,Assumptions!$C$97:$M$97)))</f>
        <v>16028.00279</v>
      </c>
      <c r="CD10" s="54">
        <f t="array" ref="CD10">IF(CD$2=1,Assumptions!$X10/12,(SUMIF($D$2:$EE$2,CD$2-1,$D10:$EE10)/12)*(1+XLOOKUP(CD$2,Assumptions!$C$94:$M$94,Assumptions!$C$97:$M$97)))</f>
        <v>16028.00279</v>
      </c>
      <c r="CE10" s="54">
        <f t="array" ref="CE10">IF(CE$2=1,Assumptions!$X10/12,(SUMIF($D$2:$EE$2,CE$2-1,$D10:$EE10)/12)*(1+XLOOKUP(CE$2,Assumptions!$C$94:$M$94,Assumptions!$C$97:$M$97)))</f>
        <v>16028.00279</v>
      </c>
      <c r="CF10" s="54">
        <f t="array" ref="CF10">IF(CF$2=1,Assumptions!$X10/12,(SUMIF($D$2:$EE$2,CF$2-1,$D10:$EE10)/12)*(1+XLOOKUP(CF$2,Assumptions!$C$94:$M$94,Assumptions!$C$97:$M$97)))</f>
        <v>16028.00279</v>
      </c>
      <c r="CG10" s="54">
        <f t="array" ref="CG10">IF(CG$2=1,Assumptions!$X10/12,(SUMIF($D$2:$EE$2,CG$2-1,$D10:$EE10)/12)*(1+XLOOKUP(CG$2,Assumptions!$C$94:$M$94,Assumptions!$C$97:$M$97)))</f>
        <v>16028.00279</v>
      </c>
      <c r="CH10" s="54">
        <f t="array" ref="CH10">IF(CH$2=1,Assumptions!$X10/12,(SUMIF($D$2:$EE$2,CH$2-1,$D10:$EE10)/12)*(1+XLOOKUP(CH$2,Assumptions!$C$94:$M$94,Assumptions!$C$97:$M$97)))</f>
        <v>16028.00279</v>
      </c>
      <c r="CI10" s="54">
        <f t="array" ref="CI10">IF(CI$2=1,Assumptions!$X10/12,(SUMIF($D$2:$EE$2,CI$2-1,$D10:$EE10)/12)*(1+XLOOKUP(CI$2,Assumptions!$C$94:$M$94,Assumptions!$C$97:$M$97)))</f>
        <v>16028.00279</v>
      </c>
      <c r="CJ10" s="54">
        <f t="array" ref="CJ10">IF(CJ$2=1,Assumptions!$X10/12,(SUMIF($D$2:$EE$2,CJ$2-1,$D10:$EE10)/12)*(1+XLOOKUP(CJ$2,Assumptions!$C$94:$M$94,Assumptions!$C$97:$M$97)))</f>
        <v>16508.84287</v>
      </c>
      <c r="CK10" s="54">
        <f t="array" ref="CK10">IF(CK$2=1,Assumptions!$X10/12,(SUMIF($D$2:$EE$2,CK$2-1,$D10:$EE10)/12)*(1+XLOOKUP(CK$2,Assumptions!$C$94:$M$94,Assumptions!$C$97:$M$97)))</f>
        <v>16508.84287</v>
      </c>
      <c r="CL10" s="54">
        <f t="array" ref="CL10">IF(CL$2=1,Assumptions!$X10/12,(SUMIF($D$2:$EE$2,CL$2-1,$D10:$EE10)/12)*(1+XLOOKUP(CL$2,Assumptions!$C$94:$M$94,Assumptions!$C$97:$M$97)))</f>
        <v>16508.84287</v>
      </c>
      <c r="CM10" s="54">
        <f t="array" ref="CM10">IF(CM$2=1,Assumptions!$X10/12,(SUMIF($D$2:$EE$2,CM$2-1,$D10:$EE10)/12)*(1+XLOOKUP(CM$2,Assumptions!$C$94:$M$94,Assumptions!$C$97:$M$97)))</f>
        <v>16508.84287</v>
      </c>
      <c r="CN10" s="54">
        <f t="array" ref="CN10">IF(CN$2=1,Assumptions!$X10/12,(SUMIF($D$2:$EE$2,CN$2-1,$D10:$EE10)/12)*(1+XLOOKUP(CN$2,Assumptions!$C$94:$M$94,Assumptions!$C$97:$M$97)))</f>
        <v>16508.84287</v>
      </c>
      <c r="CO10" s="54">
        <f t="array" ref="CO10">IF(CO$2=1,Assumptions!$X10/12,(SUMIF($D$2:$EE$2,CO$2-1,$D10:$EE10)/12)*(1+XLOOKUP(CO$2,Assumptions!$C$94:$M$94,Assumptions!$C$97:$M$97)))</f>
        <v>16508.84287</v>
      </c>
      <c r="CP10" s="54">
        <f t="array" ref="CP10">IF(CP$2=1,Assumptions!$X10/12,(SUMIF($D$2:$EE$2,CP$2-1,$D10:$EE10)/12)*(1+XLOOKUP(CP$2,Assumptions!$C$94:$M$94,Assumptions!$C$97:$M$97)))</f>
        <v>16508.84287</v>
      </c>
      <c r="CQ10" s="54">
        <f t="array" ref="CQ10">IF(CQ$2=1,Assumptions!$X10/12,(SUMIF($D$2:$EE$2,CQ$2-1,$D10:$EE10)/12)*(1+XLOOKUP(CQ$2,Assumptions!$C$94:$M$94,Assumptions!$C$97:$M$97)))</f>
        <v>16508.84287</v>
      </c>
      <c r="CR10" s="54">
        <f t="array" ref="CR10">IF(CR$2=1,Assumptions!$X10/12,(SUMIF($D$2:$EE$2,CR$2-1,$D10:$EE10)/12)*(1+XLOOKUP(CR$2,Assumptions!$C$94:$M$94,Assumptions!$C$97:$M$97)))</f>
        <v>16508.84287</v>
      </c>
      <c r="CS10" s="54">
        <f t="array" ref="CS10">IF(CS$2=1,Assumptions!$X10/12,(SUMIF($D$2:$EE$2,CS$2-1,$D10:$EE10)/12)*(1+XLOOKUP(CS$2,Assumptions!$C$94:$M$94,Assumptions!$C$97:$M$97)))</f>
        <v>16508.84287</v>
      </c>
      <c r="CT10" s="54">
        <f t="array" ref="CT10">IF(CT$2=1,Assumptions!$X10/12,(SUMIF($D$2:$EE$2,CT$2-1,$D10:$EE10)/12)*(1+XLOOKUP(CT$2,Assumptions!$C$94:$M$94,Assumptions!$C$97:$M$97)))</f>
        <v>16508.84287</v>
      </c>
      <c r="CU10" s="54">
        <f t="array" ref="CU10">IF(CU$2=1,Assumptions!$X10/12,(SUMIF($D$2:$EE$2,CU$2-1,$D10:$EE10)/12)*(1+XLOOKUP(CU$2,Assumptions!$C$94:$M$94,Assumptions!$C$97:$M$97)))</f>
        <v>16508.84287</v>
      </c>
      <c r="CV10" s="54">
        <f t="array" ref="CV10">IF(CV$2=1,Assumptions!$X10/12,(SUMIF($D$2:$EE$2,CV$2-1,$D10:$EE10)/12)*(1+XLOOKUP(CV$2,Assumptions!$C$94:$M$94,Assumptions!$C$97:$M$97)))</f>
        <v>17004.10816</v>
      </c>
      <c r="CW10" s="54">
        <f t="array" ref="CW10">IF(CW$2=1,Assumptions!$X10/12,(SUMIF($D$2:$EE$2,CW$2-1,$D10:$EE10)/12)*(1+XLOOKUP(CW$2,Assumptions!$C$94:$M$94,Assumptions!$C$97:$M$97)))</f>
        <v>17004.10816</v>
      </c>
      <c r="CX10" s="54">
        <f t="array" ref="CX10">IF(CX$2=1,Assumptions!$X10/12,(SUMIF($D$2:$EE$2,CX$2-1,$D10:$EE10)/12)*(1+XLOOKUP(CX$2,Assumptions!$C$94:$M$94,Assumptions!$C$97:$M$97)))</f>
        <v>17004.10816</v>
      </c>
      <c r="CY10" s="54">
        <f t="array" ref="CY10">IF(CY$2=1,Assumptions!$X10/12,(SUMIF($D$2:$EE$2,CY$2-1,$D10:$EE10)/12)*(1+XLOOKUP(CY$2,Assumptions!$C$94:$M$94,Assumptions!$C$97:$M$97)))</f>
        <v>17004.10816</v>
      </c>
      <c r="CZ10" s="54">
        <f t="array" ref="CZ10">IF(CZ$2=1,Assumptions!$X10/12,(SUMIF($D$2:$EE$2,CZ$2-1,$D10:$EE10)/12)*(1+XLOOKUP(CZ$2,Assumptions!$C$94:$M$94,Assumptions!$C$97:$M$97)))</f>
        <v>17004.10816</v>
      </c>
      <c r="DA10" s="54">
        <f t="array" ref="DA10">IF(DA$2=1,Assumptions!$X10/12,(SUMIF($D$2:$EE$2,DA$2-1,$D10:$EE10)/12)*(1+XLOOKUP(DA$2,Assumptions!$C$94:$M$94,Assumptions!$C$97:$M$97)))</f>
        <v>17004.10816</v>
      </c>
      <c r="DB10" s="54">
        <f t="array" ref="DB10">IF(DB$2=1,Assumptions!$X10/12,(SUMIF($D$2:$EE$2,DB$2-1,$D10:$EE10)/12)*(1+XLOOKUP(DB$2,Assumptions!$C$94:$M$94,Assumptions!$C$97:$M$97)))</f>
        <v>17004.10816</v>
      </c>
      <c r="DC10" s="54">
        <f t="array" ref="DC10">IF(DC$2=1,Assumptions!$X10/12,(SUMIF($D$2:$EE$2,DC$2-1,$D10:$EE10)/12)*(1+XLOOKUP(DC$2,Assumptions!$C$94:$M$94,Assumptions!$C$97:$M$97)))</f>
        <v>17004.10816</v>
      </c>
      <c r="DD10" s="54">
        <f t="array" ref="DD10">IF(DD$2=1,Assumptions!$X10/12,(SUMIF($D$2:$EE$2,DD$2-1,$D10:$EE10)/12)*(1+XLOOKUP(DD$2,Assumptions!$C$94:$M$94,Assumptions!$C$97:$M$97)))</f>
        <v>17004.10816</v>
      </c>
      <c r="DE10" s="54">
        <f t="array" ref="DE10">IF(DE$2=1,Assumptions!$X10/12,(SUMIF($D$2:$EE$2,DE$2-1,$D10:$EE10)/12)*(1+XLOOKUP(DE$2,Assumptions!$C$94:$M$94,Assumptions!$C$97:$M$97)))</f>
        <v>17004.10816</v>
      </c>
      <c r="DF10" s="54">
        <f t="array" ref="DF10">IF(DF$2=1,Assumptions!$X10/12,(SUMIF($D$2:$EE$2,DF$2-1,$D10:$EE10)/12)*(1+XLOOKUP(DF$2,Assumptions!$C$94:$M$94,Assumptions!$C$97:$M$97)))</f>
        <v>17004.10816</v>
      </c>
      <c r="DG10" s="54">
        <f t="array" ref="DG10">IF(DG$2=1,Assumptions!$X10/12,(SUMIF($D$2:$EE$2,DG$2-1,$D10:$EE10)/12)*(1+XLOOKUP(DG$2,Assumptions!$C$94:$M$94,Assumptions!$C$97:$M$97)))</f>
        <v>17004.10816</v>
      </c>
      <c r="DH10" s="54">
        <f t="array" ref="DH10">IF(DH$2=1,Assumptions!$X10/12,(SUMIF($D$2:$EE$2,DH$2-1,$D10:$EE10)/12)*(1+XLOOKUP(DH$2,Assumptions!$C$94:$M$94,Assumptions!$C$97:$M$97)))</f>
        <v>17514.2314</v>
      </c>
      <c r="DI10" s="54">
        <f t="array" ref="DI10">IF(DI$2=1,Assumptions!$X10/12,(SUMIF($D$2:$EE$2,DI$2-1,$D10:$EE10)/12)*(1+XLOOKUP(DI$2,Assumptions!$C$94:$M$94,Assumptions!$C$97:$M$97)))</f>
        <v>17514.2314</v>
      </c>
      <c r="DJ10" s="54">
        <f t="array" ref="DJ10">IF(DJ$2=1,Assumptions!$X10/12,(SUMIF($D$2:$EE$2,DJ$2-1,$D10:$EE10)/12)*(1+XLOOKUP(DJ$2,Assumptions!$C$94:$M$94,Assumptions!$C$97:$M$97)))</f>
        <v>17514.2314</v>
      </c>
      <c r="DK10" s="54">
        <f t="array" ref="DK10">IF(DK$2=1,Assumptions!$X10/12,(SUMIF($D$2:$EE$2,DK$2-1,$D10:$EE10)/12)*(1+XLOOKUP(DK$2,Assumptions!$C$94:$M$94,Assumptions!$C$97:$M$97)))</f>
        <v>17514.2314</v>
      </c>
      <c r="DL10" s="54">
        <f t="array" ref="DL10">IF(DL$2=1,Assumptions!$X10/12,(SUMIF($D$2:$EE$2,DL$2-1,$D10:$EE10)/12)*(1+XLOOKUP(DL$2,Assumptions!$C$94:$M$94,Assumptions!$C$97:$M$97)))</f>
        <v>17514.2314</v>
      </c>
      <c r="DM10" s="54">
        <f t="array" ref="DM10">IF(DM$2=1,Assumptions!$X10/12,(SUMIF($D$2:$EE$2,DM$2-1,$D10:$EE10)/12)*(1+XLOOKUP(DM$2,Assumptions!$C$94:$M$94,Assumptions!$C$97:$M$97)))</f>
        <v>17514.2314</v>
      </c>
      <c r="DN10" s="54">
        <f t="array" ref="DN10">IF(DN$2=1,Assumptions!$X10/12,(SUMIF($D$2:$EE$2,DN$2-1,$D10:$EE10)/12)*(1+XLOOKUP(DN$2,Assumptions!$C$94:$M$94,Assumptions!$C$97:$M$97)))</f>
        <v>17514.2314</v>
      </c>
      <c r="DO10" s="54">
        <f t="array" ref="DO10">IF(DO$2=1,Assumptions!$X10/12,(SUMIF($D$2:$EE$2,DO$2-1,$D10:$EE10)/12)*(1+XLOOKUP(DO$2,Assumptions!$C$94:$M$94,Assumptions!$C$97:$M$97)))</f>
        <v>17514.2314</v>
      </c>
      <c r="DP10" s="54">
        <f t="array" ref="DP10">IF(DP$2=1,Assumptions!$X10/12,(SUMIF($D$2:$EE$2,DP$2-1,$D10:$EE10)/12)*(1+XLOOKUP(DP$2,Assumptions!$C$94:$M$94,Assumptions!$C$97:$M$97)))</f>
        <v>17514.2314</v>
      </c>
      <c r="DQ10" s="54">
        <f t="array" ref="DQ10">IF(DQ$2=1,Assumptions!$X10/12,(SUMIF($D$2:$EE$2,DQ$2-1,$D10:$EE10)/12)*(1+XLOOKUP(DQ$2,Assumptions!$C$94:$M$94,Assumptions!$C$97:$M$97)))</f>
        <v>17514.2314</v>
      </c>
      <c r="DR10" s="54">
        <f t="array" ref="DR10">IF(DR$2=1,Assumptions!$X10/12,(SUMIF($D$2:$EE$2,DR$2-1,$D10:$EE10)/12)*(1+XLOOKUP(DR$2,Assumptions!$C$94:$M$94,Assumptions!$C$97:$M$97)))</f>
        <v>17514.2314</v>
      </c>
      <c r="DS10" s="54">
        <f t="array" ref="DS10">IF(DS$2=1,Assumptions!$X10/12,(SUMIF($D$2:$EE$2,DS$2-1,$D10:$EE10)/12)*(1+XLOOKUP(DS$2,Assumptions!$C$94:$M$94,Assumptions!$C$97:$M$97)))</f>
        <v>17514.2314</v>
      </c>
      <c r="DT10" s="54">
        <f t="array" ref="DT10">IF(DT$2=1,Assumptions!$X10/12,(SUMIF($D$2:$EE$2,DT$2-1,$D10:$EE10)/12)*(1+XLOOKUP(DT$2,Assumptions!$C$94:$M$94,Assumptions!$C$97:$M$97)))</f>
        <v>18039.65834</v>
      </c>
      <c r="DU10" s="54">
        <f t="array" ref="DU10">IF(DU$2=1,Assumptions!$X10/12,(SUMIF($D$2:$EE$2,DU$2-1,$D10:$EE10)/12)*(1+XLOOKUP(DU$2,Assumptions!$C$94:$M$94,Assumptions!$C$97:$M$97)))</f>
        <v>18039.65834</v>
      </c>
      <c r="DV10" s="54">
        <f t="array" ref="DV10">IF(DV$2=1,Assumptions!$X10/12,(SUMIF($D$2:$EE$2,DV$2-1,$D10:$EE10)/12)*(1+XLOOKUP(DV$2,Assumptions!$C$94:$M$94,Assumptions!$C$97:$M$97)))</f>
        <v>18039.65834</v>
      </c>
      <c r="DW10" s="54">
        <f t="array" ref="DW10">IF(DW$2=1,Assumptions!$X10/12,(SUMIF($D$2:$EE$2,DW$2-1,$D10:$EE10)/12)*(1+XLOOKUP(DW$2,Assumptions!$C$94:$M$94,Assumptions!$C$97:$M$97)))</f>
        <v>18039.65834</v>
      </c>
      <c r="DX10" s="54">
        <f t="array" ref="DX10">IF(DX$2=1,Assumptions!$X10/12,(SUMIF($D$2:$EE$2,DX$2-1,$D10:$EE10)/12)*(1+XLOOKUP(DX$2,Assumptions!$C$94:$M$94,Assumptions!$C$97:$M$97)))</f>
        <v>18039.65834</v>
      </c>
      <c r="DY10" s="54">
        <f t="array" ref="DY10">IF(DY$2=1,Assumptions!$X10/12,(SUMIF($D$2:$EE$2,DY$2-1,$D10:$EE10)/12)*(1+XLOOKUP(DY$2,Assumptions!$C$94:$M$94,Assumptions!$C$97:$M$97)))</f>
        <v>18039.65834</v>
      </c>
      <c r="DZ10" s="54">
        <f t="array" ref="DZ10">IF(DZ$2=1,Assumptions!$X10/12,(SUMIF($D$2:$EE$2,DZ$2-1,$D10:$EE10)/12)*(1+XLOOKUP(DZ$2,Assumptions!$C$94:$M$94,Assumptions!$C$97:$M$97)))</f>
        <v>18039.65834</v>
      </c>
      <c r="EA10" s="54">
        <f t="array" ref="EA10">IF(EA$2=1,Assumptions!$X10/12,(SUMIF($D$2:$EE$2,EA$2-1,$D10:$EE10)/12)*(1+XLOOKUP(EA$2,Assumptions!$C$94:$M$94,Assumptions!$C$97:$M$97)))</f>
        <v>18039.65834</v>
      </c>
      <c r="EB10" s="54">
        <f t="array" ref="EB10">IF(EB$2=1,Assumptions!$X10/12,(SUMIF($D$2:$EE$2,EB$2-1,$D10:$EE10)/12)*(1+XLOOKUP(EB$2,Assumptions!$C$94:$M$94,Assumptions!$C$97:$M$97)))</f>
        <v>18039.65834</v>
      </c>
      <c r="EC10" s="54">
        <f t="array" ref="EC10">IF(EC$2=1,Assumptions!$X10/12,(SUMIF($D$2:$EE$2,EC$2-1,$D10:$EE10)/12)*(1+XLOOKUP(EC$2,Assumptions!$C$94:$M$94,Assumptions!$C$97:$M$97)))</f>
        <v>18039.65834</v>
      </c>
      <c r="ED10" s="54">
        <f t="array" ref="ED10">IF(ED$2=1,Assumptions!$X10/12,(SUMIF($D$2:$EE$2,ED$2-1,$D10:$EE10)/12)*(1+XLOOKUP(ED$2,Assumptions!$C$94:$M$94,Assumptions!$C$97:$M$97)))</f>
        <v>18039.65834</v>
      </c>
      <c r="EE10" s="54">
        <f t="array" ref="EE10">IF(EE$2=1,Assumptions!$X10/12,(SUMIF($D$2:$EE$2,EE$2-1,$D10:$EE10)/12)*(1+XLOOKUP(EE$2,Assumptions!$C$94:$M$94,Assumptions!$C$97:$M$97)))</f>
        <v>18039.65834</v>
      </c>
    </row>
    <row r="11" ht="15.75" customHeight="1">
      <c r="A11" s="1"/>
      <c r="B11" s="1"/>
      <c r="C11" s="1" t="str">
        <f>Assumptions!R11</f>
        <v>4x4</v>
      </c>
      <c r="D11" s="54">
        <f t="array" ref="D11">IF(D$2=1,Assumptions!$X11/12,(SUMIF($D$2:$EE$2,D$2-1,$D11:$EE11)/12)*(1+XLOOKUP(D$2,Assumptions!$C$94:$M$94,Assumptions!$C$97:$M$97)))</f>
        <v>14017.584</v>
      </c>
      <c r="E11" s="54">
        <f t="array" ref="E11">IF(E$2=1,Assumptions!$X11/12,(SUMIF($D$2:$EE$2,E$2-1,$D11:$EE11)/12)*(1+XLOOKUP(E$2,Assumptions!$C$94:$M$94,Assumptions!$C$97:$M$97)))</f>
        <v>14017.584</v>
      </c>
      <c r="F11" s="54">
        <f t="array" ref="F11">IF(F$2=1,Assumptions!$X11/12,(SUMIF($D$2:$EE$2,F$2-1,$D11:$EE11)/12)*(1+XLOOKUP(F$2,Assumptions!$C$94:$M$94,Assumptions!$C$97:$M$97)))</f>
        <v>14017.584</v>
      </c>
      <c r="G11" s="54">
        <f t="array" ref="G11">IF(G$2=1,Assumptions!$X11/12,(SUMIF($D$2:$EE$2,G$2-1,$D11:$EE11)/12)*(1+XLOOKUP(G$2,Assumptions!$C$94:$M$94,Assumptions!$C$97:$M$97)))</f>
        <v>14017.584</v>
      </c>
      <c r="H11" s="54">
        <f t="array" ref="H11">IF(H$2=1,Assumptions!$X11/12,(SUMIF($D$2:$EE$2,H$2-1,$D11:$EE11)/12)*(1+XLOOKUP(H$2,Assumptions!$C$94:$M$94,Assumptions!$C$97:$M$97)))</f>
        <v>14017.584</v>
      </c>
      <c r="I11" s="54">
        <f t="array" ref="I11">IF(I$2=1,Assumptions!$X11/12,(SUMIF($D$2:$EE$2,I$2-1,$D11:$EE11)/12)*(1+XLOOKUP(I$2,Assumptions!$C$94:$M$94,Assumptions!$C$97:$M$97)))</f>
        <v>14017.584</v>
      </c>
      <c r="J11" s="54">
        <f t="array" ref="J11">IF(J$2=1,Assumptions!$X11/12,(SUMIF($D$2:$EE$2,J$2-1,$D11:$EE11)/12)*(1+XLOOKUP(J$2,Assumptions!$C$94:$M$94,Assumptions!$C$97:$M$97)))</f>
        <v>14017.584</v>
      </c>
      <c r="K11" s="54">
        <f t="array" ref="K11">IF(K$2=1,Assumptions!$X11/12,(SUMIF($D$2:$EE$2,K$2-1,$D11:$EE11)/12)*(1+XLOOKUP(K$2,Assumptions!$C$94:$M$94,Assumptions!$C$97:$M$97)))</f>
        <v>14017.584</v>
      </c>
      <c r="L11" s="54">
        <f t="array" ref="L11">IF(L$2=1,Assumptions!$X11/12,(SUMIF($D$2:$EE$2,L$2-1,$D11:$EE11)/12)*(1+XLOOKUP(L$2,Assumptions!$C$94:$M$94,Assumptions!$C$97:$M$97)))</f>
        <v>14017.584</v>
      </c>
      <c r="M11" s="54">
        <f t="array" ref="M11">IF(M$2=1,Assumptions!$X11/12,(SUMIF($D$2:$EE$2,M$2-1,$D11:$EE11)/12)*(1+XLOOKUP(M$2,Assumptions!$C$94:$M$94,Assumptions!$C$97:$M$97)))</f>
        <v>14017.584</v>
      </c>
      <c r="N11" s="54">
        <f t="array" ref="N11">IF(N$2=1,Assumptions!$X11/12,(SUMIF($D$2:$EE$2,N$2-1,$D11:$EE11)/12)*(1+XLOOKUP(N$2,Assumptions!$C$94:$M$94,Assumptions!$C$97:$M$97)))</f>
        <v>14017.584</v>
      </c>
      <c r="O11" s="54">
        <f t="array" ref="O11">IF(O$2=1,Assumptions!$X11/12,(SUMIF($D$2:$EE$2,O$2-1,$D11:$EE11)/12)*(1+XLOOKUP(O$2,Assumptions!$C$94:$M$94,Assumptions!$C$97:$M$97)))</f>
        <v>14017.584</v>
      </c>
      <c r="P11" s="54">
        <f t="array" ref="P11">IF(P$2=1,Assumptions!$X11/12,(SUMIF($D$2:$EE$2,P$2-1,$D11:$EE11)/12)*(1+XLOOKUP(P$2,Assumptions!$C$94:$M$94,Assumptions!$C$97:$M$97)))</f>
        <v>14438.11152</v>
      </c>
      <c r="Q11" s="54">
        <f t="array" ref="Q11">IF(Q$2=1,Assumptions!$X11/12,(SUMIF($D$2:$EE$2,Q$2-1,$D11:$EE11)/12)*(1+XLOOKUP(Q$2,Assumptions!$C$94:$M$94,Assumptions!$C$97:$M$97)))</f>
        <v>14438.11152</v>
      </c>
      <c r="R11" s="54">
        <f t="array" ref="R11">IF(R$2=1,Assumptions!$X11/12,(SUMIF($D$2:$EE$2,R$2-1,$D11:$EE11)/12)*(1+XLOOKUP(R$2,Assumptions!$C$94:$M$94,Assumptions!$C$97:$M$97)))</f>
        <v>14438.11152</v>
      </c>
      <c r="S11" s="54">
        <f t="array" ref="S11">IF(S$2=1,Assumptions!$X11/12,(SUMIF($D$2:$EE$2,S$2-1,$D11:$EE11)/12)*(1+XLOOKUP(S$2,Assumptions!$C$94:$M$94,Assumptions!$C$97:$M$97)))</f>
        <v>14438.11152</v>
      </c>
      <c r="T11" s="54">
        <f t="array" ref="T11">IF(T$2=1,Assumptions!$X11/12,(SUMIF($D$2:$EE$2,T$2-1,$D11:$EE11)/12)*(1+XLOOKUP(T$2,Assumptions!$C$94:$M$94,Assumptions!$C$97:$M$97)))</f>
        <v>14438.11152</v>
      </c>
      <c r="U11" s="54">
        <f t="array" ref="U11">IF(U$2=1,Assumptions!$X11/12,(SUMIF($D$2:$EE$2,U$2-1,$D11:$EE11)/12)*(1+XLOOKUP(U$2,Assumptions!$C$94:$M$94,Assumptions!$C$97:$M$97)))</f>
        <v>14438.11152</v>
      </c>
      <c r="V11" s="54">
        <f t="array" ref="V11">IF(V$2=1,Assumptions!$X11/12,(SUMIF($D$2:$EE$2,V$2-1,$D11:$EE11)/12)*(1+XLOOKUP(V$2,Assumptions!$C$94:$M$94,Assumptions!$C$97:$M$97)))</f>
        <v>14438.11152</v>
      </c>
      <c r="W11" s="54">
        <f t="array" ref="W11">IF(W$2=1,Assumptions!$X11/12,(SUMIF($D$2:$EE$2,W$2-1,$D11:$EE11)/12)*(1+XLOOKUP(W$2,Assumptions!$C$94:$M$94,Assumptions!$C$97:$M$97)))</f>
        <v>14438.11152</v>
      </c>
      <c r="X11" s="54">
        <f t="array" ref="X11">IF(X$2=1,Assumptions!$X11/12,(SUMIF($D$2:$EE$2,X$2-1,$D11:$EE11)/12)*(1+XLOOKUP(X$2,Assumptions!$C$94:$M$94,Assumptions!$C$97:$M$97)))</f>
        <v>14438.11152</v>
      </c>
      <c r="Y11" s="54">
        <f t="array" ref="Y11">IF(Y$2=1,Assumptions!$X11/12,(SUMIF($D$2:$EE$2,Y$2-1,$D11:$EE11)/12)*(1+XLOOKUP(Y$2,Assumptions!$C$94:$M$94,Assumptions!$C$97:$M$97)))</f>
        <v>14438.11152</v>
      </c>
      <c r="Z11" s="54">
        <f t="array" ref="Z11">IF(Z$2=1,Assumptions!$X11/12,(SUMIF($D$2:$EE$2,Z$2-1,$D11:$EE11)/12)*(1+XLOOKUP(Z$2,Assumptions!$C$94:$M$94,Assumptions!$C$97:$M$97)))</f>
        <v>14438.11152</v>
      </c>
      <c r="AA11" s="54">
        <f t="array" ref="AA11">IF(AA$2=1,Assumptions!$X11/12,(SUMIF($D$2:$EE$2,AA$2-1,$D11:$EE11)/12)*(1+XLOOKUP(AA$2,Assumptions!$C$94:$M$94,Assumptions!$C$97:$M$97)))</f>
        <v>14438.11152</v>
      </c>
      <c r="AB11" s="54">
        <f t="array" ref="AB11">IF(AB$2=1,Assumptions!$X11/12,(SUMIF($D$2:$EE$2,AB$2-1,$D11:$EE11)/12)*(1+XLOOKUP(AB$2,Assumptions!$C$94:$M$94,Assumptions!$C$97:$M$97)))</f>
        <v>14871.25487</v>
      </c>
      <c r="AC11" s="54">
        <f t="array" ref="AC11">IF(AC$2=1,Assumptions!$X11/12,(SUMIF($D$2:$EE$2,AC$2-1,$D11:$EE11)/12)*(1+XLOOKUP(AC$2,Assumptions!$C$94:$M$94,Assumptions!$C$97:$M$97)))</f>
        <v>14871.25487</v>
      </c>
      <c r="AD11" s="54">
        <f t="array" ref="AD11">IF(AD$2=1,Assumptions!$X11/12,(SUMIF($D$2:$EE$2,AD$2-1,$D11:$EE11)/12)*(1+XLOOKUP(AD$2,Assumptions!$C$94:$M$94,Assumptions!$C$97:$M$97)))</f>
        <v>14871.25487</v>
      </c>
      <c r="AE11" s="54">
        <f t="array" ref="AE11">IF(AE$2=1,Assumptions!$X11/12,(SUMIF($D$2:$EE$2,AE$2-1,$D11:$EE11)/12)*(1+XLOOKUP(AE$2,Assumptions!$C$94:$M$94,Assumptions!$C$97:$M$97)))</f>
        <v>14871.25487</v>
      </c>
      <c r="AF11" s="54">
        <f t="array" ref="AF11">IF(AF$2=1,Assumptions!$X11/12,(SUMIF($D$2:$EE$2,AF$2-1,$D11:$EE11)/12)*(1+XLOOKUP(AF$2,Assumptions!$C$94:$M$94,Assumptions!$C$97:$M$97)))</f>
        <v>14871.25487</v>
      </c>
      <c r="AG11" s="54">
        <f t="array" ref="AG11">IF(AG$2=1,Assumptions!$X11/12,(SUMIF($D$2:$EE$2,AG$2-1,$D11:$EE11)/12)*(1+XLOOKUP(AG$2,Assumptions!$C$94:$M$94,Assumptions!$C$97:$M$97)))</f>
        <v>14871.25487</v>
      </c>
      <c r="AH11" s="54">
        <f t="array" ref="AH11">IF(AH$2=1,Assumptions!$X11/12,(SUMIF($D$2:$EE$2,AH$2-1,$D11:$EE11)/12)*(1+XLOOKUP(AH$2,Assumptions!$C$94:$M$94,Assumptions!$C$97:$M$97)))</f>
        <v>14871.25487</v>
      </c>
      <c r="AI11" s="54">
        <f t="array" ref="AI11">IF(AI$2=1,Assumptions!$X11/12,(SUMIF($D$2:$EE$2,AI$2-1,$D11:$EE11)/12)*(1+XLOOKUP(AI$2,Assumptions!$C$94:$M$94,Assumptions!$C$97:$M$97)))</f>
        <v>14871.25487</v>
      </c>
      <c r="AJ11" s="54">
        <f t="array" ref="AJ11">IF(AJ$2=1,Assumptions!$X11/12,(SUMIF($D$2:$EE$2,AJ$2-1,$D11:$EE11)/12)*(1+XLOOKUP(AJ$2,Assumptions!$C$94:$M$94,Assumptions!$C$97:$M$97)))</f>
        <v>14871.25487</v>
      </c>
      <c r="AK11" s="54">
        <f t="array" ref="AK11">IF(AK$2=1,Assumptions!$X11/12,(SUMIF($D$2:$EE$2,AK$2-1,$D11:$EE11)/12)*(1+XLOOKUP(AK$2,Assumptions!$C$94:$M$94,Assumptions!$C$97:$M$97)))</f>
        <v>14871.25487</v>
      </c>
      <c r="AL11" s="54">
        <f t="array" ref="AL11">IF(AL$2=1,Assumptions!$X11/12,(SUMIF($D$2:$EE$2,AL$2-1,$D11:$EE11)/12)*(1+XLOOKUP(AL$2,Assumptions!$C$94:$M$94,Assumptions!$C$97:$M$97)))</f>
        <v>14871.25487</v>
      </c>
      <c r="AM11" s="54">
        <f t="array" ref="AM11">IF(AM$2=1,Assumptions!$X11/12,(SUMIF($D$2:$EE$2,AM$2-1,$D11:$EE11)/12)*(1+XLOOKUP(AM$2,Assumptions!$C$94:$M$94,Assumptions!$C$97:$M$97)))</f>
        <v>14871.25487</v>
      </c>
      <c r="AN11" s="54">
        <f t="array" ref="AN11">IF(AN$2=1,Assumptions!$X11/12,(SUMIF($D$2:$EE$2,AN$2-1,$D11:$EE11)/12)*(1+XLOOKUP(AN$2,Assumptions!$C$94:$M$94,Assumptions!$C$97:$M$97)))</f>
        <v>15317.39251</v>
      </c>
      <c r="AO11" s="54">
        <f t="array" ref="AO11">IF(AO$2=1,Assumptions!$X11/12,(SUMIF($D$2:$EE$2,AO$2-1,$D11:$EE11)/12)*(1+XLOOKUP(AO$2,Assumptions!$C$94:$M$94,Assumptions!$C$97:$M$97)))</f>
        <v>15317.39251</v>
      </c>
      <c r="AP11" s="54">
        <f t="array" ref="AP11">IF(AP$2=1,Assumptions!$X11/12,(SUMIF($D$2:$EE$2,AP$2-1,$D11:$EE11)/12)*(1+XLOOKUP(AP$2,Assumptions!$C$94:$M$94,Assumptions!$C$97:$M$97)))</f>
        <v>15317.39251</v>
      </c>
      <c r="AQ11" s="54">
        <f t="array" ref="AQ11">IF(AQ$2=1,Assumptions!$X11/12,(SUMIF($D$2:$EE$2,AQ$2-1,$D11:$EE11)/12)*(1+XLOOKUP(AQ$2,Assumptions!$C$94:$M$94,Assumptions!$C$97:$M$97)))</f>
        <v>15317.39251</v>
      </c>
      <c r="AR11" s="54">
        <f t="array" ref="AR11">IF(AR$2=1,Assumptions!$X11/12,(SUMIF($D$2:$EE$2,AR$2-1,$D11:$EE11)/12)*(1+XLOOKUP(AR$2,Assumptions!$C$94:$M$94,Assumptions!$C$97:$M$97)))</f>
        <v>15317.39251</v>
      </c>
      <c r="AS11" s="54">
        <f t="array" ref="AS11">IF(AS$2=1,Assumptions!$X11/12,(SUMIF($D$2:$EE$2,AS$2-1,$D11:$EE11)/12)*(1+XLOOKUP(AS$2,Assumptions!$C$94:$M$94,Assumptions!$C$97:$M$97)))</f>
        <v>15317.39251</v>
      </c>
      <c r="AT11" s="54">
        <f t="array" ref="AT11">IF(AT$2=1,Assumptions!$X11/12,(SUMIF($D$2:$EE$2,AT$2-1,$D11:$EE11)/12)*(1+XLOOKUP(AT$2,Assumptions!$C$94:$M$94,Assumptions!$C$97:$M$97)))</f>
        <v>15317.39251</v>
      </c>
      <c r="AU11" s="54">
        <f t="array" ref="AU11">IF(AU$2=1,Assumptions!$X11/12,(SUMIF($D$2:$EE$2,AU$2-1,$D11:$EE11)/12)*(1+XLOOKUP(AU$2,Assumptions!$C$94:$M$94,Assumptions!$C$97:$M$97)))</f>
        <v>15317.39251</v>
      </c>
      <c r="AV11" s="54">
        <f t="array" ref="AV11">IF(AV$2=1,Assumptions!$X11/12,(SUMIF($D$2:$EE$2,AV$2-1,$D11:$EE11)/12)*(1+XLOOKUP(AV$2,Assumptions!$C$94:$M$94,Assumptions!$C$97:$M$97)))</f>
        <v>15317.39251</v>
      </c>
      <c r="AW11" s="54">
        <f t="array" ref="AW11">IF(AW$2=1,Assumptions!$X11/12,(SUMIF($D$2:$EE$2,AW$2-1,$D11:$EE11)/12)*(1+XLOOKUP(AW$2,Assumptions!$C$94:$M$94,Assumptions!$C$97:$M$97)))</f>
        <v>15317.39251</v>
      </c>
      <c r="AX11" s="54">
        <f t="array" ref="AX11">IF(AX$2=1,Assumptions!$X11/12,(SUMIF($D$2:$EE$2,AX$2-1,$D11:$EE11)/12)*(1+XLOOKUP(AX$2,Assumptions!$C$94:$M$94,Assumptions!$C$97:$M$97)))</f>
        <v>15317.39251</v>
      </c>
      <c r="AY11" s="54">
        <f t="array" ref="AY11">IF(AY$2=1,Assumptions!$X11/12,(SUMIF($D$2:$EE$2,AY$2-1,$D11:$EE11)/12)*(1+XLOOKUP(AY$2,Assumptions!$C$94:$M$94,Assumptions!$C$97:$M$97)))</f>
        <v>15317.39251</v>
      </c>
      <c r="AZ11" s="54">
        <f t="array" ref="AZ11">IF(AZ$2=1,Assumptions!$X11/12,(SUMIF($D$2:$EE$2,AZ$2-1,$D11:$EE11)/12)*(1+XLOOKUP(AZ$2,Assumptions!$C$94:$M$94,Assumptions!$C$97:$M$97)))</f>
        <v>15776.91429</v>
      </c>
      <c r="BA11" s="54">
        <f t="array" ref="BA11">IF(BA$2=1,Assumptions!$X11/12,(SUMIF($D$2:$EE$2,BA$2-1,$D11:$EE11)/12)*(1+XLOOKUP(BA$2,Assumptions!$C$94:$M$94,Assumptions!$C$97:$M$97)))</f>
        <v>15776.91429</v>
      </c>
      <c r="BB11" s="54">
        <f t="array" ref="BB11">IF(BB$2=1,Assumptions!$X11/12,(SUMIF($D$2:$EE$2,BB$2-1,$D11:$EE11)/12)*(1+XLOOKUP(BB$2,Assumptions!$C$94:$M$94,Assumptions!$C$97:$M$97)))</f>
        <v>15776.91429</v>
      </c>
      <c r="BC11" s="54">
        <f t="array" ref="BC11">IF(BC$2=1,Assumptions!$X11/12,(SUMIF($D$2:$EE$2,BC$2-1,$D11:$EE11)/12)*(1+XLOOKUP(BC$2,Assumptions!$C$94:$M$94,Assumptions!$C$97:$M$97)))</f>
        <v>15776.91429</v>
      </c>
      <c r="BD11" s="54">
        <f t="array" ref="BD11">IF(BD$2=1,Assumptions!$X11/12,(SUMIF($D$2:$EE$2,BD$2-1,$D11:$EE11)/12)*(1+XLOOKUP(BD$2,Assumptions!$C$94:$M$94,Assumptions!$C$97:$M$97)))</f>
        <v>15776.91429</v>
      </c>
      <c r="BE11" s="54">
        <f t="array" ref="BE11">IF(BE$2=1,Assumptions!$X11/12,(SUMIF($D$2:$EE$2,BE$2-1,$D11:$EE11)/12)*(1+XLOOKUP(BE$2,Assumptions!$C$94:$M$94,Assumptions!$C$97:$M$97)))</f>
        <v>15776.91429</v>
      </c>
      <c r="BF11" s="54">
        <f t="array" ref="BF11">IF(BF$2=1,Assumptions!$X11/12,(SUMIF($D$2:$EE$2,BF$2-1,$D11:$EE11)/12)*(1+XLOOKUP(BF$2,Assumptions!$C$94:$M$94,Assumptions!$C$97:$M$97)))</f>
        <v>15776.91429</v>
      </c>
      <c r="BG11" s="54">
        <f t="array" ref="BG11">IF(BG$2=1,Assumptions!$X11/12,(SUMIF($D$2:$EE$2,BG$2-1,$D11:$EE11)/12)*(1+XLOOKUP(BG$2,Assumptions!$C$94:$M$94,Assumptions!$C$97:$M$97)))</f>
        <v>15776.91429</v>
      </c>
      <c r="BH11" s="54">
        <f t="array" ref="BH11">IF(BH$2=1,Assumptions!$X11/12,(SUMIF($D$2:$EE$2,BH$2-1,$D11:$EE11)/12)*(1+XLOOKUP(BH$2,Assumptions!$C$94:$M$94,Assumptions!$C$97:$M$97)))</f>
        <v>15776.91429</v>
      </c>
      <c r="BI11" s="54">
        <f t="array" ref="BI11">IF(BI$2=1,Assumptions!$X11/12,(SUMIF($D$2:$EE$2,BI$2-1,$D11:$EE11)/12)*(1+XLOOKUP(BI$2,Assumptions!$C$94:$M$94,Assumptions!$C$97:$M$97)))</f>
        <v>15776.91429</v>
      </c>
      <c r="BJ11" s="54">
        <f t="array" ref="BJ11">IF(BJ$2=1,Assumptions!$X11/12,(SUMIF($D$2:$EE$2,BJ$2-1,$D11:$EE11)/12)*(1+XLOOKUP(BJ$2,Assumptions!$C$94:$M$94,Assumptions!$C$97:$M$97)))</f>
        <v>15776.91429</v>
      </c>
      <c r="BK11" s="54">
        <f t="array" ref="BK11">IF(BK$2=1,Assumptions!$X11/12,(SUMIF($D$2:$EE$2,BK$2-1,$D11:$EE11)/12)*(1+XLOOKUP(BK$2,Assumptions!$C$94:$M$94,Assumptions!$C$97:$M$97)))</f>
        <v>15776.91429</v>
      </c>
      <c r="BL11" s="54">
        <f t="array" ref="BL11">IF(BL$2=1,Assumptions!$X11/12,(SUMIF($D$2:$EE$2,BL$2-1,$D11:$EE11)/12)*(1+XLOOKUP(BL$2,Assumptions!$C$94:$M$94,Assumptions!$C$97:$M$97)))</f>
        <v>16250.22172</v>
      </c>
      <c r="BM11" s="54">
        <f t="array" ref="BM11">IF(BM$2=1,Assumptions!$X11/12,(SUMIF($D$2:$EE$2,BM$2-1,$D11:$EE11)/12)*(1+XLOOKUP(BM$2,Assumptions!$C$94:$M$94,Assumptions!$C$97:$M$97)))</f>
        <v>16250.22172</v>
      </c>
      <c r="BN11" s="54">
        <f t="array" ref="BN11">IF(BN$2=1,Assumptions!$X11/12,(SUMIF($D$2:$EE$2,BN$2-1,$D11:$EE11)/12)*(1+XLOOKUP(BN$2,Assumptions!$C$94:$M$94,Assumptions!$C$97:$M$97)))</f>
        <v>16250.22172</v>
      </c>
      <c r="BO11" s="54">
        <f t="array" ref="BO11">IF(BO$2=1,Assumptions!$X11/12,(SUMIF($D$2:$EE$2,BO$2-1,$D11:$EE11)/12)*(1+XLOOKUP(BO$2,Assumptions!$C$94:$M$94,Assumptions!$C$97:$M$97)))</f>
        <v>16250.22172</v>
      </c>
      <c r="BP11" s="54">
        <f t="array" ref="BP11">IF(BP$2=1,Assumptions!$X11/12,(SUMIF($D$2:$EE$2,BP$2-1,$D11:$EE11)/12)*(1+XLOOKUP(BP$2,Assumptions!$C$94:$M$94,Assumptions!$C$97:$M$97)))</f>
        <v>16250.22172</v>
      </c>
      <c r="BQ11" s="54">
        <f t="array" ref="BQ11">IF(BQ$2=1,Assumptions!$X11/12,(SUMIF($D$2:$EE$2,BQ$2-1,$D11:$EE11)/12)*(1+XLOOKUP(BQ$2,Assumptions!$C$94:$M$94,Assumptions!$C$97:$M$97)))</f>
        <v>16250.22172</v>
      </c>
      <c r="BR11" s="54">
        <f t="array" ref="BR11">IF(BR$2=1,Assumptions!$X11/12,(SUMIF($D$2:$EE$2,BR$2-1,$D11:$EE11)/12)*(1+XLOOKUP(BR$2,Assumptions!$C$94:$M$94,Assumptions!$C$97:$M$97)))</f>
        <v>16250.22172</v>
      </c>
      <c r="BS11" s="54">
        <f t="array" ref="BS11">IF(BS$2=1,Assumptions!$X11/12,(SUMIF($D$2:$EE$2,BS$2-1,$D11:$EE11)/12)*(1+XLOOKUP(BS$2,Assumptions!$C$94:$M$94,Assumptions!$C$97:$M$97)))</f>
        <v>16250.22172</v>
      </c>
      <c r="BT11" s="54">
        <f t="array" ref="BT11">IF(BT$2=1,Assumptions!$X11/12,(SUMIF($D$2:$EE$2,BT$2-1,$D11:$EE11)/12)*(1+XLOOKUP(BT$2,Assumptions!$C$94:$M$94,Assumptions!$C$97:$M$97)))</f>
        <v>16250.22172</v>
      </c>
      <c r="BU11" s="54">
        <f t="array" ref="BU11">IF(BU$2=1,Assumptions!$X11/12,(SUMIF($D$2:$EE$2,BU$2-1,$D11:$EE11)/12)*(1+XLOOKUP(BU$2,Assumptions!$C$94:$M$94,Assumptions!$C$97:$M$97)))</f>
        <v>16250.22172</v>
      </c>
      <c r="BV11" s="54">
        <f t="array" ref="BV11">IF(BV$2=1,Assumptions!$X11/12,(SUMIF($D$2:$EE$2,BV$2-1,$D11:$EE11)/12)*(1+XLOOKUP(BV$2,Assumptions!$C$94:$M$94,Assumptions!$C$97:$M$97)))</f>
        <v>16250.22172</v>
      </c>
      <c r="BW11" s="54">
        <f t="array" ref="BW11">IF(BW$2=1,Assumptions!$X11/12,(SUMIF($D$2:$EE$2,BW$2-1,$D11:$EE11)/12)*(1+XLOOKUP(BW$2,Assumptions!$C$94:$M$94,Assumptions!$C$97:$M$97)))</f>
        <v>16250.22172</v>
      </c>
      <c r="BX11" s="54">
        <f t="array" ref="BX11">IF(BX$2=1,Assumptions!$X11/12,(SUMIF($D$2:$EE$2,BX$2-1,$D11:$EE11)/12)*(1+XLOOKUP(BX$2,Assumptions!$C$94:$M$94,Assumptions!$C$97:$M$97)))</f>
        <v>16737.72837</v>
      </c>
      <c r="BY11" s="54">
        <f t="array" ref="BY11">IF(BY$2=1,Assumptions!$X11/12,(SUMIF($D$2:$EE$2,BY$2-1,$D11:$EE11)/12)*(1+XLOOKUP(BY$2,Assumptions!$C$94:$M$94,Assumptions!$C$97:$M$97)))</f>
        <v>16737.72837</v>
      </c>
      <c r="BZ11" s="54">
        <f t="array" ref="BZ11">IF(BZ$2=1,Assumptions!$X11/12,(SUMIF($D$2:$EE$2,BZ$2-1,$D11:$EE11)/12)*(1+XLOOKUP(BZ$2,Assumptions!$C$94:$M$94,Assumptions!$C$97:$M$97)))</f>
        <v>16737.72837</v>
      </c>
      <c r="CA11" s="54">
        <f t="array" ref="CA11">IF(CA$2=1,Assumptions!$X11/12,(SUMIF($D$2:$EE$2,CA$2-1,$D11:$EE11)/12)*(1+XLOOKUP(CA$2,Assumptions!$C$94:$M$94,Assumptions!$C$97:$M$97)))</f>
        <v>16737.72837</v>
      </c>
      <c r="CB11" s="54">
        <f t="array" ref="CB11">IF(CB$2=1,Assumptions!$X11/12,(SUMIF($D$2:$EE$2,CB$2-1,$D11:$EE11)/12)*(1+XLOOKUP(CB$2,Assumptions!$C$94:$M$94,Assumptions!$C$97:$M$97)))</f>
        <v>16737.72837</v>
      </c>
      <c r="CC11" s="54">
        <f t="array" ref="CC11">IF(CC$2=1,Assumptions!$X11/12,(SUMIF($D$2:$EE$2,CC$2-1,$D11:$EE11)/12)*(1+XLOOKUP(CC$2,Assumptions!$C$94:$M$94,Assumptions!$C$97:$M$97)))</f>
        <v>16737.72837</v>
      </c>
      <c r="CD11" s="54">
        <f t="array" ref="CD11">IF(CD$2=1,Assumptions!$X11/12,(SUMIF($D$2:$EE$2,CD$2-1,$D11:$EE11)/12)*(1+XLOOKUP(CD$2,Assumptions!$C$94:$M$94,Assumptions!$C$97:$M$97)))</f>
        <v>16737.72837</v>
      </c>
      <c r="CE11" s="54">
        <f t="array" ref="CE11">IF(CE$2=1,Assumptions!$X11/12,(SUMIF($D$2:$EE$2,CE$2-1,$D11:$EE11)/12)*(1+XLOOKUP(CE$2,Assumptions!$C$94:$M$94,Assumptions!$C$97:$M$97)))</f>
        <v>16737.72837</v>
      </c>
      <c r="CF11" s="54">
        <f t="array" ref="CF11">IF(CF$2=1,Assumptions!$X11/12,(SUMIF($D$2:$EE$2,CF$2-1,$D11:$EE11)/12)*(1+XLOOKUP(CF$2,Assumptions!$C$94:$M$94,Assumptions!$C$97:$M$97)))</f>
        <v>16737.72837</v>
      </c>
      <c r="CG11" s="54">
        <f t="array" ref="CG11">IF(CG$2=1,Assumptions!$X11/12,(SUMIF($D$2:$EE$2,CG$2-1,$D11:$EE11)/12)*(1+XLOOKUP(CG$2,Assumptions!$C$94:$M$94,Assumptions!$C$97:$M$97)))</f>
        <v>16737.72837</v>
      </c>
      <c r="CH11" s="54">
        <f t="array" ref="CH11">IF(CH$2=1,Assumptions!$X11/12,(SUMIF($D$2:$EE$2,CH$2-1,$D11:$EE11)/12)*(1+XLOOKUP(CH$2,Assumptions!$C$94:$M$94,Assumptions!$C$97:$M$97)))</f>
        <v>16737.72837</v>
      </c>
      <c r="CI11" s="54">
        <f t="array" ref="CI11">IF(CI$2=1,Assumptions!$X11/12,(SUMIF($D$2:$EE$2,CI$2-1,$D11:$EE11)/12)*(1+XLOOKUP(CI$2,Assumptions!$C$94:$M$94,Assumptions!$C$97:$M$97)))</f>
        <v>16737.72837</v>
      </c>
      <c r="CJ11" s="54">
        <f t="array" ref="CJ11">IF(CJ$2=1,Assumptions!$X11/12,(SUMIF($D$2:$EE$2,CJ$2-1,$D11:$EE11)/12)*(1+XLOOKUP(CJ$2,Assumptions!$C$94:$M$94,Assumptions!$C$97:$M$97)))</f>
        <v>17239.86022</v>
      </c>
      <c r="CK11" s="54">
        <f t="array" ref="CK11">IF(CK$2=1,Assumptions!$X11/12,(SUMIF($D$2:$EE$2,CK$2-1,$D11:$EE11)/12)*(1+XLOOKUP(CK$2,Assumptions!$C$94:$M$94,Assumptions!$C$97:$M$97)))</f>
        <v>17239.86022</v>
      </c>
      <c r="CL11" s="54">
        <f t="array" ref="CL11">IF(CL$2=1,Assumptions!$X11/12,(SUMIF($D$2:$EE$2,CL$2-1,$D11:$EE11)/12)*(1+XLOOKUP(CL$2,Assumptions!$C$94:$M$94,Assumptions!$C$97:$M$97)))</f>
        <v>17239.86022</v>
      </c>
      <c r="CM11" s="54">
        <f t="array" ref="CM11">IF(CM$2=1,Assumptions!$X11/12,(SUMIF($D$2:$EE$2,CM$2-1,$D11:$EE11)/12)*(1+XLOOKUP(CM$2,Assumptions!$C$94:$M$94,Assumptions!$C$97:$M$97)))</f>
        <v>17239.86022</v>
      </c>
      <c r="CN11" s="54">
        <f t="array" ref="CN11">IF(CN$2=1,Assumptions!$X11/12,(SUMIF($D$2:$EE$2,CN$2-1,$D11:$EE11)/12)*(1+XLOOKUP(CN$2,Assumptions!$C$94:$M$94,Assumptions!$C$97:$M$97)))</f>
        <v>17239.86022</v>
      </c>
      <c r="CO11" s="54">
        <f t="array" ref="CO11">IF(CO$2=1,Assumptions!$X11/12,(SUMIF($D$2:$EE$2,CO$2-1,$D11:$EE11)/12)*(1+XLOOKUP(CO$2,Assumptions!$C$94:$M$94,Assumptions!$C$97:$M$97)))</f>
        <v>17239.86022</v>
      </c>
      <c r="CP11" s="54">
        <f t="array" ref="CP11">IF(CP$2=1,Assumptions!$X11/12,(SUMIF($D$2:$EE$2,CP$2-1,$D11:$EE11)/12)*(1+XLOOKUP(CP$2,Assumptions!$C$94:$M$94,Assumptions!$C$97:$M$97)))</f>
        <v>17239.86022</v>
      </c>
      <c r="CQ11" s="54">
        <f t="array" ref="CQ11">IF(CQ$2=1,Assumptions!$X11/12,(SUMIF($D$2:$EE$2,CQ$2-1,$D11:$EE11)/12)*(1+XLOOKUP(CQ$2,Assumptions!$C$94:$M$94,Assumptions!$C$97:$M$97)))</f>
        <v>17239.86022</v>
      </c>
      <c r="CR11" s="54">
        <f t="array" ref="CR11">IF(CR$2=1,Assumptions!$X11/12,(SUMIF($D$2:$EE$2,CR$2-1,$D11:$EE11)/12)*(1+XLOOKUP(CR$2,Assumptions!$C$94:$M$94,Assumptions!$C$97:$M$97)))</f>
        <v>17239.86022</v>
      </c>
      <c r="CS11" s="54">
        <f t="array" ref="CS11">IF(CS$2=1,Assumptions!$X11/12,(SUMIF($D$2:$EE$2,CS$2-1,$D11:$EE11)/12)*(1+XLOOKUP(CS$2,Assumptions!$C$94:$M$94,Assumptions!$C$97:$M$97)))</f>
        <v>17239.86022</v>
      </c>
      <c r="CT11" s="54">
        <f t="array" ref="CT11">IF(CT$2=1,Assumptions!$X11/12,(SUMIF($D$2:$EE$2,CT$2-1,$D11:$EE11)/12)*(1+XLOOKUP(CT$2,Assumptions!$C$94:$M$94,Assumptions!$C$97:$M$97)))</f>
        <v>17239.86022</v>
      </c>
      <c r="CU11" s="54">
        <f t="array" ref="CU11">IF(CU$2=1,Assumptions!$X11/12,(SUMIF($D$2:$EE$2,CU$2-1,$D11:$EE11)/12)*(1+XLOOKUP(CU$2,Assumptions!$C$94:$M$94,Assumptions!$C$97:$M$97)))</f>
        <v>17239.86022</v>
      </c>
      <c r="CV11" s="54">
        <f t="array" ref="CV11">IF(CV$2=1,Assumptions!$X11/12,(SUMIF($D$2:$EE$2,CV$2-1,$D11:$EE11)/12)*(1+XLOOKUP(CV$2,Assumptions!$C$94:$M$94,Assumptions!$C$97:$M$97)))</f>
        <v>17757.05602</v>
      </c>
      <c r="CW11" s="54">
        <f t="array" ref="CW11">IF(CW$2=1,Assumptions!$X11/12,(SUMIF($D$2:$EE$2,CW$2-1,$D11:$EE11)/12)*(1+XLOOKUP(CW$2,Assumptions!$C$94:$M$94,Assumptions!$C$97:$M$97)))</f>
        <v>17757.05602</v>
      </c>
      <c r="CX11" s="54">
        <f t="array" ref="CX11">IF(CX$2=1,Assumptions!$X11/12,(SUMIF($D$2:$EE$2,CX$2-1,$D11:$EE11)/12)*(1+XLOOKUP(CX$2,Assumptions!$C$94:$M$94,Assumptions!$C$97:$M$97)))</f>
        <v>17757.05602</v>
      </c>
      <c r="CY11" s="54">
        <f t="array" ref="CY11">IF(CY$2=1,Assumptions!$X11/12,(SUMIF($D$2:$EE$2,CY$2-1,$D11:$EE11)/12)*(1+XLOOKUP(CY$2,Assumptions!$C$94:$M$94,Assumptions!$C$97:$M$97)))</f>
        <v>17757.05602</v>
      </c>
      <c r="CZ11" s="54">
        <f t="array" ref="CZ11">IF(CZ$2=1,Assumptions!$X11/12,(SUMIF($D$2:$EE$2,CZ$2-1,$D11:$EE11)/12)*(1+XLOOKUP(CZ$2,Assumptions!$C$94:$M$94,Assumptions!$C$97:$M$97)))</f>
        <v>17757.05602</v>
      </c>
      <c r="DA11" s="54">
        <f t="array" ref="DA11">IF(DA$2=1,Assumptions!$X11/12,(SUMIF($D$2:$EE$2,DA$2-1,$D11:$EE11)/12)*(1+XLOOKUP(DA$2,Assumptions!$C$94:$M$94,Assumptions!$C$97:$M$97)))</f>
        <v>17757.05602</v>
      </c>
      <c r="DB11" s="54">
        <f t="array" ref="DB11">IF(DB$2=1,Assumptions!$X11/12,(SUMIF($D$2:$EE$2,DB$2-1,$D11:$EE11)/12)*(1+XLOOKUP(DB$2,Assumptions!$C$94:$M$94,Assumptions!$C$97:$M$97)))</f>
        <v>17757.05602</v>
      </c>
      <c r="DC11" s="54">
        <f t="array" ref="DC11">IF(DC$2=1,Assumptions!$X11/12,(SUMIF($D$2:$EE$2,DC$2-1,$D11:$EE11)/12)*(1+XLOOKUP(DC$2,Assumptions!$C$94:$M$94,Assumptions!$C$97:$M$97)))</f>
        <v>17757.05602</v>
      </c>
      <c r="DD11" s="54">
        <f t="array" ref="DD11">IF(DD$2=1,Assumptions!$X11/12,(SUMIF($D$2:$EE$2,DD$2-1,$D11:$EE11)/12)*(1+XLOOKUP(DD$2,Assumptions!$C$94:$M$94,Assumptions!$C$97:$M$97)))</f>
        <v>17757.05602</v>
      </c>
      <c r="DE11" s="54">
        <f t="array" ref="DE11">IF(DE$2=1,Assumptions!$X11/12,(SUMIF($D$2:$EE$2,DE$2-1,$D11:$EE11)/12)*(1+XLOOKUP(DE$2,Assumptions!$C$94:$M$94,Assumptions!$C$97:$M$97)))</f>
        <v>17757.05602</v>
      </c>
      <c r="DF11" s="54">
        <f t="array" ref="DF11">IF(DF$2=1,Assumptions!$X11/12,(SUMIF($D$2:$EE$2,DF$2-1,$D11:$EE11)/12)*(1+XLOOKUP(DF$2,Assumptions!$C$94:$M$94,Assumptions!$C$97:$M$97)))</f>
        <v>17757.05602</v>
      </c>
      <c r="DG11" s="54">
        <f t="array" ref="DG11">IF(DG$2=1,Assumptions!$X11/12,(SUMIF($D$2:$EE$2,DG$2-1,$D11:$EE11)/12)*(1+XLOOKUP(DG$2,Assumptions!$C$94:$M$94,Assumptions!$C$97:$M$97)))</f>
        <v>17757.05602</v>
      </c>
      <c r="DH11" s="54">
        <f t="array" ref="DH11">IF(DH$2=1,Assumptions!$X11/12,(SUMIF($D$2:$EE$2,DH$2-1,$D11:$EE11)/12)*(1+XLOOKUP(DH$2,Assumptions!$C$94:$M$94,Assumptions!$C$97:$M$97)))</f>
        <v>18289.76771</v>
      </c>
      <c r="DI11" s="54">
        <f t="array" ref="DI11">IF(DI$2=1,Assumptions!$X11/12,(SUMIF($D$2:$EE$2,DI$2-1,$D11:$EE11)/12)*(1+XLOOKUP(DI$2,Assumptions!$C$94:$M$94,Assumptions!$C$97:$M$97)))</f>
        <v>18289.76771</v>
      </c>
      <c r="DJ11" s="54">
        <f t="array" ref="DJ11">IF(DJ$2=1,Assumptions!$X11/12,(SUMIF($D$2:$EE$2,DJ$2-1,$D11:$EE11)/12)*(1+XLOOKUP(DJ$2,Assumptions!$C$94:$M$94,Assumptions!$C$97:$M$97)))</f>
        <v>18289.76771</v>
      </c>
      <c r="DK11" s="54">
        <f t="array" ref="DK11">IF(DK$2=1,Assumptions!$X11/12,(SUMIF($D$2:$EE$2,DK$2-1,$D11:$EE11)/12)*(1+XLOOKUP(DK$2,Assumptions!$C$94:$M$94,Assumptions!$C$97:$M$97)))</f>
        <v>18289.76771</v>
      </c>
      <c r="DL11" s="54">
        <f t="array" ref="DL11">IF(DL$2=1,Assumptions!$X11/12,(SUMIF($D$2:$EE$2,DL$2-1,$D11:$EE11)/12)*(1+XLOOKUP(DL$2,Assumptions!$C$94:$M$94,Assumptions!$C$97:$M$97)))</f>
        <v>18289.76771</v>
      </c>
      <c r="DM11" s="54">
        <f t="array" ref="DM11">IF(DM$2=1,Assumptions!$X11/12,(SUMIF($D$2:$EE$2,DM$2-1,$D11:$EE11)/12)*(1+XLOOKUP(DM$2,Assumptions!$C$94:$M$94,Assumptions!$C$97:$M$97)))</f>
        <v>18289.76771</v>
      </c>
      <c r="DN11" s="54">
        <f t="array" ref="DN11">IF(DN$2=1,Assumptions!$X11/12,(SUMIF($D$2:$EE$2,DN$2-1,$D11:$EE11)/12)*(1+XLOOKUP(DN$2,Assumptions!$C$94:$M$94,Assumptions!$C$97:$M$97)))</f>
        <v>18289.76771</v>
      </c>
      <c r="DO11" s="54">
        <f t="array" ref="DO11">IF(DO$2=1,Assumptions!$X11/12,(SUMIF($D$2:$EE$2,DO$2-1,$D11:$EE11)/12)*(1+XLOOKUP(DO$2,Assumptions!$C$94:$M$94,Assumptions!$C$97:$M$97)))</f>
        <v>18289.76771</v>
      </c>
      <c r="DP11" s="54">
        <f t="array" ref="DP11">IF(DP$2=1,Assumptions!$X11/12,(SUMIF($D$2:$EE$2,DP$2-1,$D11:$EE11)/12)*(1+XLOOKUP(DP$2,Assumptions!$C$94:$M$94,Assumptions!$C$97:$M$97)))</f>
        <v>18289.76771</v>
      </c>
      <c r="DQ11" s="54">
        <f t="array" ref="DQ11">IF(DQ$2=1,Assumptions!$X11/12,(SUMIF($D$2:$EE$2,DQ$2-1,$D11:$EE11)/12)*(1+XLOOKUP(DQ$2,Assumptions!$C$94:$M$94,Assumptions!$C$97:$M$97)))</f>
        <v>18289.76771</v>
      </c>
      <c r="DR11" s="54">
        <f t="array" ref="DR11">IF(DR$2=1,Assumptions!$X11/12,(SUMIF($D$2:$EE$2,DR$2-1,$D11:$EE11)/12)*(1+XLOOKUP(DR$2,Assumptions!$C$94:$M$94,Assumptions!$C$97:$M$97)))</f>
        <v>18289.76771</v>
      </c>
      <c r="DS11" s="54">
        <f t="array" ref="DS11">IF(DS$2=1,Assumptions!$X11/12,(SUMIF($D$2:$EE$2,DS$2-1,$D11:$EE11)/12)*(1+XLOOKUP(DS$2,Assumptions!$C$94:$M$94,Assumptions!$C$97:$M$97)))</f>
        <v>18289.76771</v>
      </c>
      <c r="DT11" s="54">
        <f t="array" ref="DT11">IF(DT$2=1,Assumptions!$X11/12,(SUMIF($D$2:$EE$2,DT$2-1,$D11:$EE11)/12)*(1+XLOOKUP(DT$2,Assumptions!$C$94:$M$94,Assumptions!$C$97:$M$97)))</f>
        <v>18838.46074</v>
      </c>
      <c r="DU11" s="54">
        <f t="array" ref="DU11">IF(DU$2=1,Assumptions!$X11/12,(SUMIF($D$2:$EE$2,DU$2-1,$D11:$EE11)/12)*(1+XLOOKUP(DU$2,Assumptions!$C$94:$M$94,Assumptions!$C$97:$M$97)))</f>
        <v>18838.46074</v>
      </c>
      <c r="DV11" s="54">
        <f t="array" ref="DV11">IF(DV$2=1,Assumptions!$X11/12,(SUMIF($D$2:$EE$2,DV$2-1,$D11:$EE11)/12)*(1+XLOOKUP(DV$2,Assumptions!$C$94:$M$94,Assumptions!$C$97:$M$97)))</f>
        <v>18838.46074</v>
      </c>
      <c r="DW11" s="54">
        <f t="array" ref="DW11">IF(DW$2=1,Assumptions!$X11/12,(SUMIF($D$2:$EE$2,DW$2-1,$D11:$EE11)/12)*(1+XLOOKUP(DW$2,Assumptions!$C$94:$M$94,Assumptions!$C$97:$M$97)))</f>
        <v>18838.46074</v>
      </c>
      <c r="DX11" s="54">
        <f t="array" ref="DX11">IF(DX$2=1,Assumptions!$X11/12,(SUMIF($D$2:$EE$2,DX$2-1,$D11:$EE11)/12)*(1+XLOOKUP(DX$2,Assumptions!$C$94:$M$94,Assumptions!$C$97:$M$97)))</f>
        <v>18838.46074</v>
      </c>
      <c r="DY11" s="54">
        <f t="array" ref="DY11">IF(DY$2=1,Assumptions!$X11/12,(SUMIF($D$2:$EE$2,DY$2-1,$D11:$EE11)/12)*(1+XLOOKUP(DY$2,Assumptions!$C$94:$M$94,Assumptions!$C$97:$M$97)))</f>
        <v>18838.46074</v>
      </c>
      <c r="DZ11" s="54">
        <f t="array" ref="DZ11">IF(DZ$2=1,Assumptions!$X11/12,(SUMIF($D$2:$EE$2,DZ$2-1,$D11:$EE11)/12)*(1+XLOOKUP(DZ$2,Assumptions!$C$94:$M$94,Assumptions!$C$97:$M$97)))</f>
        <v>18838.46074</v>
      </c>
      <c r="EA11" s="54">
        <f t="array" ref="EA11">IF(EA$2=1,Assumptions!$X11/12,(SUMIF($D$2:$EE$2,EA$2-1,$D11:$EE11)/12)*(1+XLOOKUP(EA$2,Assumptions!$C$94:$M$94,Assumptions!$C$97:$M$97)))</f>
        <v>18838.46074</v>
      </c>
      <c r="EB11" s="54">
        <f t="array" ref="EB11">IF(EB$2=1,Assumptions!$X11/12,(SUMIF($D$2:$EE$2,EB$2-1,$D11:$EE11)/12)*(1+XLOOKUP(EB$2,Assumptions!$C$94:$M$94,Assumptions!$C$97:$M$97)))</f>
        <v>18838.46074</v>
      </c>
      <c r="EC11" s="54">
        <f t="array" ref="EC11">IF(EC$2=1,Assumptions!$X11/12,(SUMIF($D$2:$EE$2,EC$2-1,$D11:$EE11)/12)*(1+XLOOKUP(EC$2,Assumptions!$C$94:$M$94,Assumptions!$C$97:$M$97)))</f>
        <v>18838.46074</v>
      </c>
      <c r="ED11" s="54">
        <f t="array" ref="ED11">IF(ED$2=1,Assumptions!$X11/12,(SUMIF($D$2:$EE$2,ED$2-1,$D11:$EE11)/12)*(1+XLOOKUP(ED$2,Assumptions!$C$94:$M$94,Assumptions!$C$97:$M$97)))</f>
        <v>18838.46074</v>
      </c>
      <c r="EE11" s="54">
        <f t="array" ref="EE11">IF(EE$2=1,Assumptions!$X11/12,(SUMIF($D$2:$EE$2,EE$2-1,$D11:$EE11)/12)*(1+XLOOKUP(EE$2,Assumptions!$C$94:$M$94,Assumptions!$C$97:$M$97)))</f>
        <v>18838.46074</v>
      </c>
    </row>
    <row r="12" ht="15.75" customHeight="1">
      <c r="A12" s="1"/>
      <c r="B12" s="26"/>
      <c r="C12" s="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</row>
    <row r="13" ht="15.75" customHeight="1">
      <c r="A13" s="1"/>
      <c r="B13" s="110"/>
      <c r="C13" s="47" t="s">
        <v>194</v>
      </c>
      <c r="D13" s="213">
        <f t="shared" ref="D13:EE13" si="3">SUM(D5:D12)</f>
        <v>109871.748</v>
      </c>
      <c r="E13" s="213">
        <f t="shared" si="3"/>
        <v>109871.748</v>
      </c>
      <c r="F13" s="213">
        <f t="shared" si="3"/>
        <v>109871.748</v>
      </c>
      <c r="G13" s="213">
        <f t="shared" si="3"/>
        <v>109871.748</v>
      </c>
      <c r="H13" s="213">
        <f t="shared" si="3"/>
        <v>109871.748</v>
      </c>
      <c r="I13" s="213">
        <f t="shared" si="3"/>
        <v>109871.748</v>
      </c>
      <c r="J13" s="213">
        <f t="shared" si="3"/>
        <v>109871.748</v>
      </c>
      <c r="K13" s="213">
        <f t="shared" si="3"/>
        <v>109871.748</v>
      </c>
      <c r="L13" s="213">
        <f t="shared" si="3"/>
        <v>109871.748</v>
      </c>
      <c r="M13" s="213">
        <f t="shared" si="3"/>
        <v>109871.748</v>
      </c>
      <c r="N13" s="213">
        <f t="shared" si="3"/>
        <v>109871.748</v>
      </c>
      <c r="O13" s="213">
        <f t="shared" si="3"/>
        <v>109871.748</v>
      </c>
      <c r="P13" s="213">
        <f t="shared" si="3"/>
        <v>113167.9004</v>
      </c>
      <c r="Q13" s="213">
        <f t="shared" si="3"/>
        <v>113167.9004</v>
      </c>
      <c r="R13" s="213">
        <f t="shared" si="3"/>
        <v>113167.9004</v>
      </c>
      <c r="S13" s="213">
        <f t="shared" si="3"/>
        <v>113167.9004</v>
      </c>
      <c r="T13" s="213">
        <f t="shared" si="3"/>
        <v>113167.9004</v>
      </c>
      <c r="U13" s="213">
        <f t="shared" si="3"/>
        <v>113167.9004</v>
      </c>
      <c r="V13" s="213">
        <f t="shared" si="3"/>
        <v>113167.9004</v>
      </c>
      <c r="W13" s="213">
        <f t="shared" si="3"/>
        <v>113167.9004</v>
      </c>
      <c r="X13" s="213">
        <f t="shared" si="3"/>
        <v>113167.9004</v>
      </c>
      <c r="Y13" s="213">
        <f t="shared" si="3"/>
        <v>113167.9004</v>
      </c>
      <c r="Z13" s="213">
        <f t="shared" si="3"/>
        <v>113167.9004</v>
      </c>
      <c r="AA13" s="213">
        <f t="shared" si="3"/>
        <v>113167.9004</v>
      </c>
      <c r="AB13" s="213">
        <f t="shared" si="3"/>
        <v>116562.9375</v>
      </c>
      <c r="AC13" s="213">
        <f t="shared" si="3"/>
        <v>116562.9375</v>
      </c>
      <c r="AD13" s="213">
        <f t="shared" si="3"/>
        <v>116562.9375</v>
      </c>
      <c r="AE13" s="213">
        <f t="shared" si="3"/>
        <v>116562.9375</v>
      </c>
      <c r="AF13" s="213">
        <f t="shared" si="3"/>
        <v>116562.9375</v>
      </c>
      <c r="AG13" s="213">
        <f t="shared" si="3"/>
        <v>116562.9375</v>
      </c>
      <c r="AH13" s="213">
        <f t="shared" si="3"/>
        <v>116562.9375</v>
      </c>
      <c r="AI13" s="213">
        <f t="shared" si="3"/>
        <v>116562.9375</v>
      </c>
      <c r="AJ13" s="213">
        <f t="shared" si="3"/>
        <v>116562.9375</v>
      </c>
      <c r="AK13" s="213">
        <f t="shared" si="3"/>
        <v>116562.9375</v>
      </c>
      <c r="AL13" s="213">
        <f t="shared" si="3"/>
        <v>116562.9375</v>
      </c>
      <c r="AM13" s="213">
        <f t="shared" si="3"/>
        <v>116562.9375</v>
      </c>
      <c r="AN13" s="213">
        <f t="shared" si="3"/>
        <v>120059.8256</v>
      </c>
      <c r="AO13" s="213">
        <f t="shared" si="3"/>
        <v>120059.8256</v>
      </c>
      <c r="AP13" s="213">
        <f t="shared" si="3"/>
        <v>120059.8256</v>
      </c>
      <c r="AQ13" s="213">
        <f t="shared" si="3"/>
        <v>120059.8256</v>
      </c>
      <c r="AR13" s="213">
        <f t="shared" si="3"/>
        <v>120059.8256</v>
      </c>
      <c r="AS13" s="213">
        <f t="shared" si="3"/>
        <v>120059.8256</v>
      </c>
      <c r="AT13" s="213">
        <f t="shared" si="3"/>
        <v>120059.8256</v>
      </c>
      <c r="AU13" s="213">
        <f t="shared" si="3"/>
        <v>120059.8256</v>
      </c>
      <c r="AV13" s="213">
        <f t="shared" si="3"/>
        <v>120059.8256</v>
      </c>
      <c r="AW13" s="213">
        <f t="shared" si="3"/>
        <v>120059.8256</v>
      </c>
      <c r="AX13" s="213">
        <f t="shared" si="3"/>
        <v>120059.8256</v>
      </c>
      <c r="AY13" s="213">
        <f t="shared" si="3"/>
        <v>120059.8256</v>
      </c>
      <c r="AZ13" s="213">
        <f t="shared" si="3"/>
        <v>123661.6203</v>
      </c>
      <c r="BA13" s="213">
        <f t="shared" si="3"/>
        <v>123661.6203</v>
      </c>
      <c r="BB13" s="213">
        <f t="shared" si="3"/>
        <v>123661.6203</v>
      </c>
      <c r="BC13" s="213">
        <f t="shared" si="3"/>
        <v>123661.6203</v>
      </c>
      <c r="BD13" s="213">
        <f t="shared" si="3"/>
        <v>123661.6203</v>
      </c>
      <c r="BE13" s="213">
        <f t="shared" si="3"/>
        <v>123661.6203</v>
      </c>
      <c r="BF13" s="213">
        <f t="shared" si="3"/>
        <v>123661.6203</v>
      </c>
      <c r="BG13" s="213">
        <f t="shared" si="3"/>
        <v>123661.6203</v>
      </c>
      <c r="BH13" s="213">
        <f t="shared" si="3"/>
        <v>123661.6203</v>
      </c>
      <c r="BI13" s="213">
        <f t="shared" si="3"/>
        <v>123661.6203</v>
      </c>
      <c r="BJ13" s="213">
        <f t="shared" si="3"/>
        <v>123661.6203</v>
      </c>
      <c r="BK13" s="213">
        <f t="shared" si="3"/>
        <v>123661.6203</v>
      </c>
      <c r="BL13" s="213">
        <f t="shared" si="3"/>
        <v>127371.469</v>
      </c>
      <c r="BM13" s="213">
        <f t="shared" si="3"/>
        <v>127371.469</v>
      </c>
      <c r="BN13" s="213">
        <f t="shared" si="3"/>
        <v>127371.469</v>
      </c>
      <c r="BO13" s="213">
        <f t="shared" si="3"/>
        <v>127371.469</v>
      </c>
      <c r="BP13" s="213">
        <f t="shared" si="3"/>
        <v>127371.469</v>
      </c>
      <c r="BQ13" s="213">
        <f t="shared" si="3"/>
        <v>127371.469</v>
      </c>
      <c r="BR13" s="213">
        <f t="shared" si="3"/>
        <v>127371.469</v>
      </c>
      <c r="BS13" s="213">
        <f t="shared" si="3"/>
        <v>127371.469</v>
      </c>
      <c r="BT13" s="213">
        <f t="shared" si="3"/>
        <v>127371.469</v>
      </c>
      <c r="BU13" s="213">
        <f t="shared" si="3"/>
        <v>127371.469</v>
      </c>
      <c r="BV13" s="213">
        <f t="shared" si="3"/>
        <v>127371.469</v>
      </c>
      <c r="BW13" s="213">
        <f t="shared" si="3"/>
        <v>127371.469</v>
      </c>
      <c r="BX13" s="213">
        <f t="shared" si="3"/>
        <v>131192.613</v>
      </c>
      <c r="BY13" s="213">
        <f t="shared" si="3"/>
        <v>131192.613</v>
      </c>
      <c r="BZ13" s="213">
        <f t="shared" si="3"/>
        <v>131192.613</v>
      </c>
      <c r="CA13" s="213">
        <f t="shared" si="3"/>
        <v>131192.613</v>
      </c>
      <c r="CB13" s="213">
        <f t="shared" si="3"/>
        <v>131192.613</v>
      </c>
      <c r="CC13" s="213">
        <f t="shared" si="3"/>
        <v>131192.613</v>
      </c>
      <c r="CD13" s="213">
        <f t="shared" si="3"/>
        <v>131192.613</v>
      </c>
      <c r="CE13" s="213">
        <f t="shared" si="3"/>
        <v>131192.613</v>
      </c>
      <c r="CF13" s="213">
        <f t="shared" si="3"/>
        <v>131192.613</v>
      </c>
      <c r="CG13" s="213">
        <f t="shared" si="3"/>
        <v>131192.613</v>
      </c>
      <c r="CH13" s="213">
        <f t="shared" si="3"/>
        <v>131192.613</v>
      </c>
      <c r="CI13" s="213">
        <f t="shared" si="3"/>
        <v>131192.613</v>
      </c>
      <c r="CJ13" s="213">
        <f t="shared" si="3"/>
        <v>135128.3914</v>
      </c>
      <c r="CK13" s="213">
        <f t="shared" si="3"/>
        <v>135128.3914</v>
      </c>
      <c r="CL13" s="213">
        <f t="shared" si="3"/>
        <v>135128.3914</v>
      </c>
      <c r="CM13" s="213">
        <f t="shared" si="3"/>
        <v>135128.3914</v>
      </c>
      <c r="CN13" s="213">
        <f t="shared" si="3"/>
        <v>135128.3914</v>
      </c>
      <c r="CO13" s="213">
        <f t="shared" si="3"/>
        <v>135128.3914</v>
      </c>
      <c r="CP13" s="213">
        <f t="shared" si="3"/>
        <v>135128.3914</v>
      </c>
      <c r="CQ13" s="213">
        <f t="shared" si="3"/>
        <v>135128.3914</v>
      </c>
      <c r="CR13" s="213">
        <f t="shared" si="3"/>
        <v>135128.3914</v>
      </c>
      <c r="CS13" s="213">
        <f t="shared" si="3"/>
        <v>135128.3914</v>
      </c>
      <c r="CT13" s="213">
        <f t="shared" si="3"/>
        <v>135128.3914</v>
      </c>
      <c r="CU13" s="213">
        <f t="shared" si="3"/>
        <v>135128.3914</v>
      </c>
      <c r="CV13" s="213">
        <f t="shared" si="3"/>
        <v>139182.2432</v>
      </c>
      <c r="CW13" s="213">
        <f t="shared" si="3"/>
        <v>139182.2432</v>
      </c>
      <c r="CX13" s="213">
        <f t="shared" si="3"/>
        <v>139182.2432</v>
      </c>
      <c r="CY13" s="213">
        <f t="shared" si="3"/>
        <v>139182.2432</v>
      </c>
      <c r="CZ13" s="213">
        <f t="shared" si="3"/>
        <v>139182.2432</v>
      </c>
      <c r="DA13" s="213">
        <f t="shared" si="3"/>
        <v>139182.2432</v>
      </c>
      <c r="DB13" s="213">
        <f t="shared" si="3"/>
        <v>139182.2432</v>
      </c>
      <c r="DC13" s="213">
        <f t="shared" si="3"/>
        <v>139182.2432</v>
      </c>
      <c r="DD13" s="213">
        <f t="shared" si="3"/>
        <v>139182.2432</v>
      </c>
      <c r="DE13" s="213">
        <f t="shared" si="3"/>
        <v>139182.2432</v>
      </c>
      <c r="DF13" s="213">
        <f t="shared" si="3"/>
        <v>139182.2432</v>
      </c>
      <c r="DG13" s="213">
        <f t="shared" si="3"/>
        <v>139182.2432</v>
      </c>
      <c r="DH13" s="213">
        <f t="shared" si="3"/>
        <v>143357.7105</v>
      </c>
      <c r="DI13" s="213">
        <f t="shared" si="3"/>
        <v>143357.7105</v>
      </c>
      <c r="DJ13" s="213">
        <f t="shared" si="3"/>
        <v>143357.7105</v>
      </c>
      <c r="DK13" s="213">
        <f t="shared" si="3"/>
        <v>143357.7105</v>
      </c>
      <c r="DL13" s="213">
        <f t="shared" si="3"/>
        <v>143357.7105</v>
      </c>
      <c r="DM13" s="213">
        <f t="shared" si="3"/>
        <v>143357.7105</v>
      </c>
      <c r="DN13" s="213">
        <f t="shared" si="3"/>
        <v>143357.7105</v>
      </c>
      <c r="DO13" s="213">
        <f t="shared" si="3"/>
        <v>143357.7105</v>
      </c>
      <c r="DP13" s="213">
        <f t="shared" si="3"/>
        <v>143357.7105</v>
      </c>
      <c r="DQ13" s="213">
        <f t="shared" si="3"/>
        <v>143357.7105</v>
      </c>
      <c r="DR13" s="213">
        <f t="shared" si="3"/>
        <v>143357.7105</v>
      </c>
      <c r="DS13" s="213">
        <f t="shared" si="3"/>
        <v>143357.7105</v>
      </c>
      <c r="DT13" s="213">
        <f t="shared" si="3"/>
        <v>147658.4418</v>
      </c>
      <c r="DU13" s="213">
        <f t="shared" si="3"/>
        <v>147658.4418</v>
      </c>
      <c r="DV13" s="213">
        <f t="shared" si="3"/>
        <v>147658.4418</v>
      </c>
      <c r="DW13" s="213">
        <f t="shared" si="3"/>
        <v>147658.4418</v>
      </c>
      <c r="DX13" s="213">
        <f t="shared" si="3"/>
        <v>147658.4418</v>
      </c>
      <c r="DY13" s="213">
        <f t="shared" si="3"/>
        <v>147658.4418</v>
      </c>
      <c r="DZ13" s="213">
        <f t="shared" si="3"/>
        <v>147658.4418</v>
      </c>
      <c r="EA13" s="213">
        <f t="shared" si="3"/>
        <v>147658.4418</v>
      </c>
      <c r="EB13" s="213">
        <f t="shared" si="3"/>
        <v>147658.4418</v>
      </c>
      <c r="EC13" s="213">
        <f t="shared" si="3"/>
        <v>147658.4418</v>
      </c>
      <c r="ED13" s="213">
        <f t="shared" si="3"/>
        <v>147658.4418</v>
      </c>
      <c r="EE13" s="213">
        <f t="shared" si="3"/>
        <v>147658.4418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54">
        <f t="array" ref="D15">-D$13*IF(D$2=Assumptions!$D$68,Assumptions!$D$67,XLOOKUP(D$2,Assumptions!$C$94:$M$94,Assumptions!$C$95:$M$95))</f>
        <v>-5493.5874</v>
      </c>
      <c r="E15" s="54">
        <f t="array" ref="E15">-E$13*IF(E$2=Assumptions!$D$68,Assumptions!$D$67,XLOOKUP(E$2,Assumptions!$C$94:$M$94,Assumptions!$C$95:$M$95))</f>
        <v>-5493.5874</v>
      </c>
      <c r="F15" s="54">
        <f t="array" ref="F15">-F$13*IF(F$2=Assumptions!$D$68,Assumptions!$D$67,XLOOKUP(F$2,Assumptions!$C$94:$M$94,Assumptions!$C$95:$M$95))</f>
        <v>-5493.5874</v>
      </c>
      <c r="G15" s="54">
        <f t="array" ref="G15">-G$13*IF(G$2=Assumptions!$D$68,Assumptions!$D$67,XLOOKUP(G$2,Assumptions!$C$94:$M$94,Assumptions!$C$95:$M$95))</f>
        <v>-5493.5874</v>
      </c>
      <c r="H15" s="54">
        <f t="array" ref="H15">-H$13*IF(H$2=Assumptions!$D$68,Assumptions!$D$67,XLOOKUP(H$2,Assumptions!$C$94:$M$94,Assumptions!$C$95:$M$95))</f>
        <v>-5493.5874</v>
      </c>
      <c r="I15" s="54">
        <f t="array" ref="I15">-I$13*IF(I$2=Assumptions!$D$68,Assumptions!$D$67,XLOOKUP(I$2,Assumptions!$C$94:$M$94,Assumptions!$C$95:$M$95))</f>
        <v>-5493.5874</v>
      </c>
      <c r="J15" s="54">
        <f t="array" ref="J15">-J$13*IF(J$2=Assumptions!$D$68,Assumptions!$D$67,XLOOKUP(J$2,Assumptions!$C$94:$M$94,Assumptions!$C$95:$M$95))</f>
        <v>-5493.5874</v>
      </c>
      <c r="K15" s="54">
        <f t="array" ref="K15">-K$13*IF(K$2=Assumptions!$D$68,Assumptions!$D$67,XLOOKUP(K$2,Assumptions!$C$94:$M$94,Assumptions!$C$95:$M$95))</f>
        <v>-5493.5874</v>
      </c>
      <c r="L15" s="54">
        <f t="array" ref="L15">-L$13*IF(L$2=Assumptions!$D$68,Assumptions!$D$67,XLOOKUP(L$2,Assumptions!$C$94:$M$94,Assumptions!$C$95:$M$95))</f>
        <v>-5493.5874</v>
      </c>
      <c r="M15" s="54">
        <f t="array" ref="M15">-M$13*IF(M$2=Assumptions!$D$68,Assumptions!$D$67,XLOOKUP(M$2,Assumptions!$C$94:$M$94,Assumptions!$C$95:$M$95))</f>
        <v>-5493.5874</v>
      </c>
      <c r="N15" s="54">
        <f t="array" ref="N15">-N$13*IF(N$2=Assumptions!$D$68,Assumptions!$D$67,XLOOKUP(N$2,Assumptions!$C$94:$M$94,Assumptions!$C$95:$M$95))</f>
        <v>-5493.5874</v>
      </c>
      <c r="O15" s="54">
        <f t="array" ref="O15">-O$13*IF(O$2=Assumptions!$D$68,Assumptions!$D$67,XLOOKUP(O$2,Assumptions!$C$94:$M$94,Assumptions!$C$95:$M$95))</f>
        <v>-5493.5874</v>
      </c>
      <c r="P15" s="54">
        <f t="array" ref="P15">-P$13*IF(P$2=Assumptions!$D$68,Assumptions!$D$67,XLOOKUP(P$2,Assumptions!$C$94:$M$94,Assumptions!$C$95:$M$95))</f>
        <v>-2263.358009</v>
      </c>
      <c r="Q15" s="54">
        <f t="array" ref="Q15">-Q$13*IF(Q$2=Assumptions!$D$68,Assumptions!$D$67,XLOOKUP(Q$2,Assumptions!$C$94:$M$94,Assumptions!$C$95:$M$95))</f>
        <v>-2263.358009</v>
      </c>
      <c r="R15" s="54">
        <f t="array" ref="R15">-R$13*IF(R$2=Assumptions!$D$68,Assumptions!$D$67,XLOOKUP(R$2,Assumptions!$C$94:$M$94,Assumptions!$C$95:$M$95))</f>
        <v>-2263.358009</v>
      </c>
      <c r="S15" s="54">
        <f t="array" ref="S15">-S$13*IF(S$2=Assumptions!$D$68,Assumptions!$D$67,XLOOKUP(S$2,Assumptions!$C$94:$M$94,Assumptions!$C$95:$M$95))</f>
        <v>-2263.358009</v>
      </c>
      <c r="T15" s="54">
        <f t="array" ref="T15">-T$13*IF(T$2=Assumptions!$D$68,Assumptions!$D$67,XLOOKUP(T$2,Assumptions!$C$94:$M$94,Assumptions!$C$95:$M$95))</f>
        <v>-2263.358009</v>
      </c>
      <c r="U15" s="54">
        <f t="array" ref="U15">-U$13*IF(U$2=Assumptions!$D$68,Assumptions!$D$67,XLOOKUP(U$2,Assumptions!$C$94:$M$94,Assumptions!$C$95:$M$95))</f>
        <v>-2263.358009</v>
      </c>
      <c r="V15" s="54">
        <f t="array" ref="V15">-V$13*IF(V$2=Assumptions!$D$68,Assumptions!$D$67,XLOOKUP(V$2,Assumptions!$C$94:$M$94,Assumptions!$C$95:$M$95))</f>
        <v>-2263.358009</v>
      </c>
      <c r="W15" s="54">
        <f t="array" ref="W15">-W$13*IF(W$2=Assumptions!$D$68,Assumptions!$D$67,XLOOKUP(W$2,Assumptions!$C$94:$M$94,Assumptions!$C$95:$M$95))</f>
        <v>-2263.358009</v>
      </c>
      <c r="X15" s="54">
        <f t="array" ref="X15">-X$13*IF(X$2=Assumptions!$D$68,Assumptions!$D$67,XLOOKUP(X$2,Assumptions!$C$94:$M$94,Assumptions!$C$95:$M$95))</f>
        <v>-2263.358009</v>
      </c>
      <c r="Y15" s="54">
        <f t="array" ref="Y15">-Y$13*IF(Y$2=Assumptions!$D$68,Assumptions!$D$67,XLOOKUP(Y$2,Assumptions!$C$94:$M$94,Assumptions!$C$95:$M$95))</f>
        <v>-2263.358009</v>
      </c>
      <c r="Z15" s="54">
        <f t="array" ref="Z15">-Z$13*IF(Z$2=Assumptions!$D$68,Assumptions!$D$67,XLOOKUP(Z$2,Assumptions!$C$94:$M$94,Assumptions!$C$95:$M$95))</f>
        <v>-2263.358009</v>
      </c>
      <c r="AA15" s="54">
        <f t="array" ref="AA15">-AA$13*IF(AA$2=Assumptions!$D$68,Assumptions!$D$67,XLOOKUP(AA$2,Assumptions!$C$94:$M$94,Assumptions!$C$95:$M$95))</f>
        <v>-2263.358009</v>
      </c>
      <c r="AB15" s="54">
        <f t="array" ref="AB15">-AB$13*IF(AB$2=Assumptions!$D$68,Assumptions!$D$67,XLOOKUP(AB$2,Assumptions!$C$94:$M$94,Assumptions!$C$95:$M$95))</f>
        <v>-2331.258749</v>
      </c>
      <c r="AC15" s="54">
        <f t="array" ref="AC15">-AC$13*IF(AC$2=Assumptions!$D$68,Assumptions!$D$67,XLOOKUP(AC$2,Assumptions!$C$94:$M$94,Assumptions!$C$95:$M$95))</f>
        <v>-2331.258749</v>
      </c>
      <c r="AD15" s="54">
        <f t="array" ref="AD15">-AD$13*IF(AD$2=Assumptions!$D$68,Assumptions!$D$67,XLOOKUP(AD$2,Assumptions!$C$94:$M$94,Assumptions!$C$95:$M$95))</f>
        <v>-2331.258749</v>
      </c>
      <c r="AE15" s="54">
        <f t="array" ref="AE15">-AE$13*IF(AE$2=Assumptions!$D$68,Assumptions!$D$67,XLOOKUP(AE$2,Assumptions!$C$94:$M$94,Assumptions!$C$95:$M$95))</f>
        <v>-2331.258749</v>
      </c>
      <c r="AF15" s="54">
        <f t="array" ref="AF15">-AF$13*IF(AF$2=Assumptions!$D$68,Assumptions!$D$67,XLOOKUP(AF$2,Assumptions!$C$94:$M$94,Assumptions!$C$95:$M$95))</f>
        <v>-2331.258749</v>
      </c>
      <c r="AG15" s="54">
        <f t="array" ref="AG15">-AG$13*IF(AG$2=Assumptions!$D$68,Assumptions!$D$67,XLOOKUP(AG$2,Assumptions!$C$94:$M$94,Assumptions!$C$95:$M$95))</f>
        <v>-2331.258749</v>
      </c>
      <c r="AH15" s="54">
        <f t="array" ref="AH15">-AH$13*IF(AH$2=Assumptions!$D$68,Assumptions!$D$67,XLOOKUP(AH$2,Assumptions!$C$94:$M$94,Assumptions!$C$95:$M$95))</f>
        <v>-2331.258749</v>
      </c>
      <c r="AI15" s="54">
        <f t="array" ref="AI15">-AI$13*IF(AI$2=Assumptions!$D$68,Assumptions!$D$67,XLOOKUP(AI$2,Assumptions!$C$94:$M$94,Assumptions!$C$95:$M$95))</f>
        <v>-2331.258749</v>
      </c>
      <c r="AJ15" s="54">
        <f t="array" ref="AJ15">-AJ$13*IF(AJ$2=Assumptions!$D$68,Assumptions!$D$67,XLOOKUP(AJ$2,Assumptions!$C$94:$M$94,Assumptions!$C$95:$M$95))</f>
        <v>-2331.258749</v>
      </c>
      <c r="AK15" s="54">
        <f t="array" ref="AK15">-AK$13*IF(AK$2=Assumptions!$D$68,Assumptions!$D$67,XLOOKUP(AK$2,Assumptions!$C$94:$M$94,Assumptions!$C$95:$M$95))</f>
        <v>-2331.258749</v>
      </c>
      <c r="AL15" s="54">
        <f t="array" ref="AL15">-AL$13*IF(AL$2=Assumptions!$D$68,Assumptions!$D$67,XLOOKUP(AL$2,Assumptions!$C$94:$M$94,Assumptions!$C$95:$M$95))</f>
        <v>-2331.258749</v>
      </c>
      <c r="AM15" s="54">
        <f t="array" ref="AM15">-AM$13*IF(AM$2=Assumptions!$D$68,Assumptions!$D$67,XLOOKUP(AM$2,Assumptions!$C$94:$M$94,Assumptions!$C$95:$M$95))</f>
        <v>-2331.258749</v>
      </c>
      <c r="AN15" s="54">
        <f t="array" ref="AN15">-AN$13*IF(AN$2=Assumptions!$D$68,Assumptions!$D$67,XLOOKUP(AN$2,Assumptions!$C$94:$M$94,Assumptions!$C$95:$M$95))</f>
        <v>-2401.196512</v>
      </c>
      <c r="AO15" s="54">
        <f t="array" ref="AO15">-AO$13*IF(AO$2=Assumptions!$D$68,Assumptions!$D$67,XLOOKUP(AO$2,Assumptions!$C$94:$M$94,Assumptions!$C$95:$M$95))</f>
        <v>-2401.196512</v>
      </c>
      <c r="AP15" s="54">
        <f t="array" ref="AP15">-AP$13*IF(AP$2=Assumptions!$D$68,Assumptions!$D$67,XLOOKUP(AP$2,Assumptions!$C$94:$M$94,Assumptions!$C$95:$M$95))</f>
        <v>-2401.196512</v>
      </c>
      <c r="AQ15" s="54">
        <f t="array" ref="AQ15">-AQ$13*IF(AQ$2=Assumptions!$D$68,Assumptions!$D$67,XLOOKUP(AQ$2,Assumptions!$C$94:$M$94,Assumptions!$C$95:$M$95))</f>
        <v>-2401.196512</v>
      </c>
      <c r="AR15" s="54">
        <f t="array" ref="AR15">-AR$13*IF(AR$2=Assumptions!$D$68,Assumptions!$D$67,XLOOKUP(AR$2,Assumptions!$C$94:$M$94,Assumptions!$C$95:$M$95))</f>
        <v>-2401.196512</v>
      </c>
      <c r="AS15" s="54">
        <f t="array" ref="AS15">-AS$13*IF(AS$2=Assumptions!$D$68,Assumptions!$D$67,XLOOKUP(AS$2,Assumptions!$C$94:$M$94,Assumptions!$C$95:$M$95))</f>
        <v>-2401.196512</v>
      </c>
      <c r="AT15" s="54">
        <f t="array" ref="AT15">-AT$13*IF(AT$2=Assumptions!$D$68,Assumptions!$D$67,XLOOKUP(AT$2,Assumptions!$C$94:$M$94,Assumptions!$C$95:$M$95))</f>
        <v>-2401.196512</v>
      </c>
      <c r="AU15" s="54">
        <f t="array" ref="AU15">-AU$13*IF(AU$2=Assumptions!$D$68,Assumptions!$D$67,XLOOKUP(AU$2,Assumptions!$C$94:$M$94,Assumptions!$C$95:$M$95))</f>
        <v>-2401.196512</v>
      </c>
      <c r="AV15" s="54">
        <f t="array" ref="AV15">-AV$13*IF(AV$2=Assumptions!$D$68,Assumptions!$D$67,XLOOKUP(AV$2,Assumptions!$C$94:$M$94,Assumptions!$C$95:$M$95))</f>
        <v>-2401.196512</v>
      </c>
      <c r="AW15" s="54">
        <f t="array" ref="AW15">-AW$13*IF(AW$2=Assumptions!$D$68,Assumptions!$D$67,XLOOKUP(AW$2,Assumptions!$C$94:$M$94,Assumptions!$C$95:$M$95))</f>
        <v>-2401.196512</v>
      </c>
      <c r="AX15" s="54">
        <f t="array" ref="AX15">-AX$13*IF(AX$2=Assumptions!$D$68,Assumptions!$D$67,XLOOKUP(AX$2,Assumptions!$C$94:$M$94,Assumptions!$C$95:$M$95))</f>
        <v>-2401.196512</v>
      </c>
      <c r="AY15" s="54">
        <f t="array" ref="AY15">-AY$13*IF(AY$2=Assumptions!$D$68,Assumptions!$D$67,XLOOKUP(AY$2,Assumptions!$C$94:$M$94,Assumptions!$C$95:$M$95))</f>
        <v>-2401.196512</v>
      </c>
      <c r="AZ15" s="54">
        <f t="array" ref="AZ15">-AZ$13*IF(AZ$2=Assumptions!$D$68,Assumptions!$D$67,XLOOKUP(AZ$2,Assumptions!$C$94:$M$94,Assumptions!$C$95:$M$95))</f>
        <v>-2473.232407</v>
      </c>
      <c r="BA15" s="54">
        <f t="array" ref="BA15">-BA$13*IF(BA$2=Assumptions!$D$68,Assumptions!$D$67,XLOOKUP(BA$2,Assumptions!$C$94:$M$94,Assumptions!$C$95:$M$95))</f>
        <v>-2473.232407</v>
      </c>
      <c r="BB15" s="54">
        <f t="array" ref="BB15">-BB$13*IF(BB$2=Assumptions!$D$68,Assumptions!$D$67,XLOOKUP(BB$2,Assumptions!$C$94:$M$94,Assumptions!$C$95:$M$95))</f>
        <v>-2473.232407</v>
      </c>
      <c r="BC15" s="54">
        <f t="array" ref="BC15">-BC$13*IF(BC$2=Assumptions!$D$68,Assumptions!$D$67,XLOOKUP(BC$2,Assumptions!$C$94:$M$94,Assumptions!$C$95:$M$95))</f>
        <v>-2473.232407</v>
      </c>
      <c r="BD15" s="54">
        <f t="array" ref="BD15">-BD$13*IF(BD$2=Assumptions!$D$68,Assumptions!$D$67,XLOOKUP(BD$2,Assumptions!$C$94:$M$94,Assumptions!$C$95:$M$95))</f>
        <v>-2473.232407</v>
      </c>
      <c r="BE15" s="54">
        <f t="array" ref="BE15">-BE$13*IF(BE$2=Assumptions!$D$68,Assumptions!$D$67,XLOOKUP(BE$2,Assumptions!$C$94:$M$94,Assumptions!$C$95:$M$95))</f>
        <v>-2473.232407</v>
      </c>
      <c r="BF15" s="54">
        <f t="array" ref="BF15">-BF$13*IF(BF$2=Assumptions!$D$68,Assumptions!$D$67,XLOOKUP(BF$2,Assumptions!$C$94:$M$94,Assumptions!$C$95:$M$95))</f>
        <v>-2473.232407</v>
      </c>
      <c r="BG15" s="54">
        <f t="array" ref="BG15">-BG$13*IF(BG$2=Assumptions!$D$68,Assumptions!$D$67,XLOOKUP(BG$2,Assumptions!$C$94:$M$94,Assumptions!$C$95:$M$95))</f>
        <v>-2473.232407</v>
      </c>
      <c r="BH15" s="54">
        <f t="array" ref="BH15">-BH$13*IF(BH$2=Assumptions!$D$68,Assumptions!$D$67,XLOOKUP(BH$2,Assumptions!$C$94:$M$94,Assumptions!$C$95:$M$95))</f>
        <v>-2473.232407</v>
      </c>
      <c r="BI15" s="54">
        <f t="array" ref="BI15">-BI$13*IF(BI$2=Assumptions!$D$68,Assumptions!$D$67,XLOOKUP(BI$2,Assumptions!$C$94:$M$94,Assumptions!$C$95:$M$95))</f>
        <v>-2473.232407</v>
      </c>
      <c r="BJ15" s="54">
        <f t="array" ref="BJ15">-BJ$13*IF(BJ$2=Assumptions!$D$68,Assumptions!$D$67,XLOOKUP(BJ$2,Assumptions!$C$94:$M$94,Assumptions!$C$95:$M$95))</f>
        <v>-2473.232407</v>
      </c>
      <c r="BK15" s="54">
        <f t="array" ref="BK15">-BK$13*IF(BK$2=Assumptions!$D$68,Assumptions!$D$67,XLOOKUP(BK$2,Assumptions!$C$94:$M$94,Assumptions!$C$95:$M$95))</f>
        <v>-2473.232407</v>
      </c>
      <c r="BL15" s="54">
        <f t="array" ref="BL15">-BL$13*IF(BL$2=Assumptions!$D$68,Assumptions!$D$67,XLOOKUP(BL$2,Assumptions!$C$94:$M$94,Assumptions!$C$95:$M$95))</f>
        <v>-2547.429379</v>
      </c>
      <c r="BM15" s="54">
        <f t="array" ref="BM15">-BM$13*IF(BM$2=Assumptions!$D$68,Assumptions!$D$67,XLOOKUP(BM$2,Assumptions!$C$94:$M$94,Assumptions!$C$95:$M$95))</f>
        <v>-2547.429379</v>
      </c>
      <c r="BN15" s="54">
        <f t="array" ref="BN15">-BN$13*IF(BN$2=Assumptions!$D$68,Assumptions!$D$67,XLOOKUP(BN$2,Assumptions!$C$94:$M$94,Assumptions!$C$95:$M$95))</f>
        <v>-2547.429379</v>
      </c>
      <c r="BO15" s="54">
        <f t="array" ref="BO15">-BO$13*IF(BO$2=Assumptions!$D$68,Assumptions!$D$67,XLOOKUP(BO$2,Assumptions!$C$94:$M$94,Assumptions!$C$95:$M$95))</f>
        <v>-2547.429379</v>
      </c>
      <c r="BP15" s="54">
        <f t="array" ref="BP15">-BP$13*IF(BP$2=Assumptions!$D$68,Assumptions!$D$67,XLOOKUP(BP$2,Assumptions!$C$94:$M$94,Assumptions!$C$95:$M$95))</f>
        <v>-2547.429379</v>
      </c>
      <c r="BQ15" s="54">
        <f t="array" ref="BQ15">-BQ$13*IF(BQ$2=Assumptions!$D$68,Assumptions!$D$67,XLOOKUP(BQ$2,Assumptions!$C$94:$M$94,Assumptions!$C$95:$M$95))</f>
        <v>-2547.429379</v>
      </c>
      <c r="BR15" s="54">
        <f t="array" ref="BR15">-BR$13*IF(BR$2=Assumptions!$D$68,Assumptions!$D$67,XLOOKUP(BR$2,Assumptions!$C$94:$M$94,Assumptions!$C$95:$M$95))</f>
        <v>-2547.429379</v>
      </c>
      <c r="BS15" s="54">
        <f t="array" ref="BS15">-BS$13*IF(BS$2=Assumptions!$D$68,Assumptions!$D$67,XLOOKUP(BS$2,Assumptions!$C$94:$M$94,Assumptions!$C$95:$M$95))</f>
        <v>-2547.429379</v>
      </c>
      <c r="BT15" s="54">
        <f t="array" ref="BT15">-BT$13*IF(BT$2=Assumptions!$D$68,Assumptions!$D$67,XLOOKUP(BT$2,Assumptions!$C$94:$M$94,Assumptions!$C$95:$M$95))</f>
        <v>-2547.429379</v>
      </c>
      <c r="BU15" s="54">
        <f t="array" ref="BU15">-BU$13*IF(BU$2=Assumptions!$D$68,Assumptions!$D$67,XLOOKUP(BU$2,Assumptions!$C$94:$M$94,Assumptions!$C$95:$M$95))</f>
        <v>-2547.429379</v>
      </c>
      <c r="BV15" s="54">
        <f t="array" ref="BV15">-BV$13*IF(BV$2=Assumptions!$D$68,Assumptions!$D$67,XLOOKUP(BV$2,Assumptions!$C$94:$M$94,Assumptions!$C$95:$M$95))</f>
        <v>-2547.429379</v>
      </c>
      <c r="BW15" s="54">
        <f t="array" ref="BW15">-BW$13*IF(BW$2=Assumptions!$D$68,Assumptions!$D$67,XLOOKUP(BW$2,Assumptions!$C$94:$M$94,Assumptions!$C$95:$M$95))</f>
        <v>-2547.429379</v>
      </c>
      <c r="BX15" s="54">
        <f t="array" ref="BX15">-BX$13*IF(BX$2=Assumptions!$D$68,Assumptions!$D$67,XLOOKUP(BX$2,Assumptions!$C$94:$M$94,Assumptions!$C$95:$M$95))</f>
        <v>-2623.85226</v>
      </c>
      <c r="BY15" s="54">
        <f t="array" ref="BY15">-BY$13*IF(BY$2=Assumptions!$D$68,Assumptions!$D$67,XLOOKUP(BY$2,Assumptions!$C$94:$M$94,Assumptions!$C$95:$M$95))</f>
        <v>-2623.85226</v>
      </c>
      <c r="BZ15" s="54">
        <f t="array" ref="BZ15">-BZ$13*IF(BZ$2=Assumptions!$D$68,Assumptions!$D$67,XLOOKUP(BZ$2,Assumptions!$C$94:$M$94,Assumptions!$C$95:$M$95))</f>
        <v>-2623.85226</v>
      </c>
      <c r="CA15" s="54">
        <f t="array" ref="CA15">-CA$13*IF(CA$2=Assumptions!$D$68,Assumptions!$D$67,XLOOKUP(CA$2,Assumptions!$C$94:$M$94,Assumptions!$C$95:$M$95))</f>
        <v>-2623.85226</v>
      </c>
      <c r="CB15" s="54">
        <f t="array" ref="CB15">-CB$13*IF(CB$2=Assumptions!$D$68,Assumptions!$D$67,XLOOKUP(CB$2,Assumptions!$C$94:$M$94,Assumptions!$C$95:$M$95))</f>
        <v>-2623.85226</v>
      </c>
      <c r="CC15" s="54">
        <f t="array" ref="CC15">-CC$13*IF(CC$2=Assumptions!$D$68,Assumptions!$D$67,XLOOKUP(CC$2,Assumptions!$C$94:$M$94,Assumptions!$C$95:$M$95))</f>
        <v>-2623.85226</v>
      </c>
      <c r="CD15" s="54">
        <f t="array" ref="CD15">-CD$13*IF(CD$2=Assumptions!$D$68,Assumptions!$D$67,XLOOKUP(CD$2,Assumptions!$C$94:$M$94,Assumptions!$C$95:$M$95))</f>
        <v>-2623.85226</v>
      </c>
      <c r="CE15" s="54">
        <f t="array" ref="CE15">-CE$13*IF(CE$2=Assumptions!$D$68,Assumptions!$D$67,XLOOKUP(CE$2,Assumptions!$C$94:$M$94,Assumptions!$C$95:$M$95))</f>
        <v>-2623.85226</v>
      </c>
      <c r="CF15" s="54">
        <f t="array" ref="CF15">-CF$13*IF(CF$2=Assumptions!$D$68,Assumptions!$D$67,XLOOKUP(CF$2,Assumptions!$C$94:$M$94,Assumptions!$C$95:$M$95))</f>
        <v>-2623.85226</v>
      </c>
      <c r="CG15" s="54">
        <f t="array" ref="CG15">-CG$13*IF(CG$2=Assumptions!$D$68,Assumptions!$D$67,XLOOKUP(CG$2,Assumptions!$C$94:$M$94,Assumptions!$C$95:$M$95))</f>
        <v>-2623.85226</v>
      </c>
      <c r="CH15" s="54">
        <f t="array" ref="CH15">-CH$13*IF(CH$2=Assumptions!$D$68,Assumptions!$D$67,XLOOKUP(CH$2,Assumptions!$C$94:$M$94,Assumptions!$C$95:$M$95))</f>
        <v>-2623.85226</v>
      </c>
      <c r="CI15" s="54">
        <f t="array" ref="CI15">-CI$13*IF(CI$2=Assumptions!$D$68,Assumptions!$D$67,XLOOKUP(CI$2,Assumptions!$C$94:$M$94,Assumptions!$C$95:$M$95))</f>
        <v>-2623.85226</v>
      </c>
      <c r="CJ15" s="54">
        <f t="array" ref="CJ15">-CJ$13*IF(CJ$2=Assumptions!$D$68,Assumptions!$D$67,XLOOKUP(CJ$2,Assumptions!$C$94:$M$94,Assumptions!$C$95:$M$95))</f>
        <v>-2702.567828</v>
      </c>
      <c r="CK15" s="54">
        <f t="array" ref="CK15">-CK$13*IF(CK$2=Assumptions!$D$68,Assumptions!$D$67,XLOOKUP(CK$2,Assumptions!$C$94:$M$94,Assumptions!$C$95:$M$95))</f>
        <v>-2702.567828</v>
      </c>
      <c r="CL15" s="54">
        <f t="array" ref="CL15">-CL$13*IF(CL$2=Assumptions!$D$68,Assumptions!$D$67,XLOOKUP(CL$2,Assumptions!$C$94:$M$94,Assumptions!$C$95:$M$95))</f>
        <v>-2702.567828</v>
      </c>
      <c r="CM15" s="54">
        <f t="array" ref="CM15">-CM$13*IF(CM$2=Assumptions!$D$68,Assumptions!$D$67,XLOOKUP(CM$2,Assumptions!$C$94:$M$94,Assumptions!$C$95:$M$95))</f>
        <v>-2702.567828</v>
      </c>
      <c r="CN15" s="54">
        <f t="array" ref="CN15">-CN$13*IF(CN$2=Assumptions!$D$68,Assumptions!$D$67,XLOOKUP(CN$2,Assumptions!$C$94:$M$94,Assumptions!$C$95:$M$95))</f>
        <v>-2702.567828</v>
      </c>
      <c r="CO15" s="54">
        <f t="array" ref="CO15">-CO$13*IF(CO$2=Assumptions!$D$68,Assumptions!$D$67,XLOOKUP(CO$2,Assumptions!$C$94:$M$94,Assumptions!$C$95:$M$95))</f>
        <v>-2702.567828</v>
      </c>
      <c r="CP15" s="54">
        <f t="array" ref="CP15">-CP$13*IF(CP$2=Assumptions!$D$68,Assumptions!$D$67,XLOOKUP(CP$2,Assumptions!$C$94:$M$94,Assumptions!$C$95:$M$95))</f>
        <v>-2702.567828</v>
      </c>
      <c r="CQ15" s="54">
        <f t="array" ref="CQ15">-CQ$13*IF(CQ$2=Assumptions!$D$68,Assumptions!$D$67,XLOOKUP(CQ$2,Assumptions!$C$94:$M$94,Assumptions!$C$95:$M$95))</f>
        <v>-2702.567828</v>
      </c>
      <c r="CR15" s="54">
        <f t="array" ref="CR15">-CR$13*IF(CR$2=Assumptions!$D$68,Assumptions!$D$67,XLOOKUP(CR$2,Assumptions!$C$94:$M$94,Assumptions!$C$95:$M$95))</f>
        <v>-2702.567828</v>
      </c>
      <c r="CS15" s="54">
        <f t="array" ref="CS15">-CS$13*IF(CS$2=Assumptions!$D$68,Assumptions!$D$67,XLOOKUP(CS$2,Assumptions!$C$94:$M$94,Assumptions!$C$95:$M$95))</f>
        <v>-2702.567828</v>
      </c>
      <c r="CT15" s="54">
        <f t="array" ref="CT15">-CT$13*IF(CT$2=Assumptions!$D$68,Assumptions!$D$67,XLOOKUP(CT$2,Assumptions!$C$94:$M$94,Assumptions!$C$95:$M$95))</f>
        <v>-2702.567828</v>
      </c>
      <c r="CU15" s="54">
        <f t="array" ref="CU15">-CU$13*IF(CU$2=Assumptions!$D$68,Assumptions!$D$67,XLOOKUP(CU$2,Assumptions!$C$94:$M$94,Assumptions!$C$95:$M$95))</f>
        <v>-2702.567828</v>
      </c>
      <c r="CV15" s="54">
        <f t="array" ref="CV15">-CV$13*IF(CV$2=Assumptions!$D$68,Assumptions!$D$67,XLOOKUP(CV$2,Assumptions!$C$94:$M$94,Assumptions!$C$95:$M$95))</f>
        <v>-2783.644863</v>
      </c>
      <c r="CW15" s="54">
        <f t="array" ref="CW15">-CW$13*IF(CW$2=Assumptions!$D$68,Assumptions!$D$67,XLOOKUP(CW$2,Assumptions!$C$94:$M$94,Assumptions!$C$95:$M$95))</f>
        <v>-2783.644863</v>
      </c>
      <c r="CX15" s="54">
        <f t="array" ref="CX15">-CX$13*IF(CX$2=Assumptions!$D$68,Assumptions!$D$67,XLOOKUP(CX$2,Assumptions!$C$94:$M$94,Assumptions!$C$95:$M$95))</f>
        <v>-2783.644863</v>
      </c>
      <c r="CY15" s="54">
        <f t="array" ref="CY15">-CY$13*IF(CY$2=Assumptions!$D$68,Assumptions!$D$67,XLOOKUP(CY$2,Assumptions!$C$94:$M$94,Assumptions!$C$95:$M$95))</f>
        <v>-2783.644863</v>
      </c>
      <c r="CZ15" s="54">
        <f t="array" ref="CZ15">-CZ$13*IF(CZ$2=Assumptions!$D$68,Assumptions!$D$67,XLOOKUP(CZ$2,Assumptions!$C$94:$M$94,Assumptions!$C$95:$M$95))</f>
        <v>-2783.644863</v>
      </c>
      <c r="DA15" s="54">
        <f t="array" ref="DA15">-DA$13*IF(DA$2=Assumptions!$D$68,Assumptions!$D$67,XLOOKUP(DA$2,Assumptions!$C$94:$M$94,Assumptions!$C$95:$M$95))</f>
        <v>-2783.644863</v>
      </c>
      <c r="DB15" s="54">
        <f t="array" ref="DB15">-DB$13*IF(DB$2=Assumptions!$D$68,Assumptions!$D$67,XLOOKUP(DB$2,Assumptions!$C$94:$M$94,Assumptions!$C$95:$M$95))</f>
        <v>-2783.644863</v>
      </c>
      <c r="DC15" s="54">
        <f t="array" ref="DC15">-DC$13*IF(DC$2=Assumptions!$D$68,Assumptions!$D$67,XLOOKUP(DC$2,Assumptions!$C$94:$M$94,Assumptions!$C$95:$M$95))</f>
        <v>-2783.644863</v>
      </c>
      <c r="DD15" s="54">
        <f t="array" ref="DD15">-DD$13*IF(DD$2=Assumptions!$D$68,Assumptions!$D$67,XLOOKUP(DD$2,Assumptions!$C$94:$M$94,Assumptions!$C$95:$M$95))</f>
        <v>-2783.644863</v>
      </c>
      <c r="DE15" s="54">
        <f t="array" ref="DE15">-DE$13*IF(DE$2=Assumptions!$D$68,Assumptions!$D$67,XLOOKUP(DE$2,Assumptions!$C$94:$M$94,Assumptions!$C$95:$M$95))</f>
        <v>-2783.644863</v>
      </c>
      <c r="DF15" s="54">
        <f t="array" ref="DF15">-DF$13*IF(DF$2=Assumptions!$D$68,Assumptions!$D$67,XLOOKUP(DF$2,Assumptions!$C$94:$M$94,Assumptions!$C$95:$M$95))</f>
        <v>-2783.644863</v>
      </c>
      <c r="DG15" s="54">
        <f t="array" ref="DG15">-DG$13*IF(DG$2=Assumptions!$D$68,Assumptions!$D$67,XLOOKUP(DG$2,Assumptions!$C$94:$M$94,Assumptions!$C$95:$M$95))</f>
        <v>-2783.644863</v>
      </c>
      <c r="DH15" s="54">
        <f t="array" ref="DH15">-DH$13*IF(DH$2=Assumptions!$D$68,Assumptions!$D$67,XLOOKUP(DH$2,Assumptions!$C$94:$M$94,Assumptions!$C$95:$M$95))</f>
        <v>-7167.885523</v>
      </c>
      <c r="DI15" s="54">
        <f t="array" ref="DI15">-DI$13*IF(DI$2=Assumptions!$D$68,Assumptions!$D$67,XLOOKUP(DI$2,Assumptions!$C$94:$M$94,Assumptions!$C$95:$M$95))</f>
        <v>-7167.885523</v>
      </c>
      <c r="DJ15" s="54">
        <f t="array" ref="DJ15">-DJ$13*IF(DJ$2=Assumptions!$D$68,Assumptions!$D$67,XLOOKUP(DJ$2,Assumptions!$C$94:$M$94,Assumptions!$C$95:$M$95))</f>
        <v>-7167.885523</v>
      </c>
      <c r="DK15" s="54">
        <f t="array" ref="DK15">-DK$13*IF(DK$2=Assumptions!$D$68,Assumptions!$D$67,XLOOKUP(DK$2,Assumptions!$C$94:$M$94,Assumptions!$C$95:$M$95))</f>
        <v>-7167.885523</v>
      </c>
      <c r="DL15" s="54">
        <f t="array" ref="DL15">-DL$13*IF(DL$2=Assumptions!$D$68,Assumptions!$D$67,XLOOKUP(DL$2,Assumptions!$C$94:$M$94,Assumptions!$C$95:$M$95))</f>
        <v>-7167.885523</v>
      </c>
      <c r="DM15" s="54">
        <f t="array" ref="DM15">-DM$13*IF(DM$2=Assumptions!$D$68,Assumptions!$D$67,XLOOKUP(DM$2,Assumptions!$C$94:$M$94,Assumptions!$C$95:$M$95))</f>
        <v>-7167.885523</v>
      </c>
      <c r="DN15" s="54">
        <f t="array" ref="DN15">-DN$13*IF(DN$2=Assumptions!$D$68,Assumptions!$D$67,XLOOKUP(DN$2,Assumptions!$C$94:$M$94,Assumptions!$C$95:$M$95))</f>
        <v>-7167.885523</v>
      </c>
      <c r="DO15" s="54">
        <f t="array" ref="DO15">-DO$13*IF(DO$2=Assumptions!$D$68,Assumptions!$D$67,XLOOKUP(DO$2,Assumptions!$C$94:$M$94,Assumptions!$C$95:$M$95))</f>
        <v>-7167.885523</v>
      </c>
      <c r="DP15" s="54">
        <f t="array" ref="DP15">-DP$13*IF(DP$2=Assumptions!$D$68,Assumptions!$D$67,XLOOKUP(DP$2,Assumptions!$C$94:$M$94,Assumptions!$C$95:$M$95))</f>
        <v>-7167.885523</v>
      </c>
      <c r="DQ15" s="54">
        <f t="array" ref="DQ15">-DQ$13*IF(DQ$2=Assumptions!$D$68,Assumptions!$D$67,XLOOKUP(DQ$2,Assumptions!$C$94:$M$94,Assumptions!$C$95:$M$95))</f>
        <v>-7167.885523</v>
      </c>
      <c r="DR15" s="54">
        <f t="array" ref="DR15">-DR$13*IF(DR$2=Assumptions!$D$68,Assumptions!$D$67,XLOOKUP(DR$2,Assumptions!$C$94:$M$94,Assumptions!$C$95:$M$95))</f>
        <v>-7167.885523</v>
      </c>
      <c r="DS15" s="54">
        <f t="array" ref="DS15">-DS$13*IF(DS$2=Assumptions!$D$68,Assumptions!$D$67,XLOOKUP(DS$2,Assumptions!$C$94:$M$94,Assumptions!$C$95:$M$95))</f>
        <v>-7167.885523</v>
      </c>
      <c r="DT15" s="54">
        <f t="array" ref="DT15">-DT$13*IF(DT$2=Assumptions!$D$68,Assumptions!$D$67,XLOOKUP(DT$2,Assumptions!$C$94:$M$94,Assumptions!$C$95:$M$95))</f>
        <v>-2953.168835</v>
      </c>
      <c r="DU15" s="54">
        <f t="array" ref="DU15">-DU$13*IF(DU$2=Assumptions!$D$68,Assumptions!$D$67,XLOOKUP(DU$2,Assumptions!$C$94:$M$94,Assumptions!$C$95:$M$95))</f>
        <v>-2953.168835</v>
      </c>
      <c r="DV15" s="54">
        <f t="array" ref="DV15">-DV$13*IF(DV$2=Assumptions!$D$68,Assumptions!$D$67,XLOOKUP(DV$2,Assumptions!$C$94:$M$94,Assumptions!$C$95:$M$95))</f>
        <v>-2953.168835</v>
      </c>
      <c r="DW15" s="54">
        <f t="array" ref="DW15">-DW$13*IF(DW$2=Assumptions!$D$68,Assumptions!$D$67,XLOOKUP(DW$2,Assumptions!$C$94:$M$94,Assumptions!$C$95:$M$95))</f>
        <v>-2953.168835</v>
      </c>
      <c r="DX15" s="54">
        <f t="array" ref="DX15">-DX$13*IF(DX$2=Assumptions!$D$68,Assumptions!$D$67,XLOOKUP(DX$2,Assumptions!$C$94:$M$94,Assumptions!$C$95:$M$95))</f>
        <v>-2953.168835</v>
      </c>
      <c r="DY15" s="54">
        <f t="array" ref="DY15">-DY$13*IF(DY$2=Assumptions!$D$68,Assumptions!$D$67,XLOOKUP(DY$2,Assumptions!$C$94:$M$94,Assumptions!$C$95:$M$95))</f>
        <v>-2953.168835</v>
      </c>
      <c r="DZ15" s="54">
        <f t="array" ref="DZ15">-DZ$13*IF(DZ$2=Assumptions!$D$68,Assumptions!$D$67,XLOOKUP(DZ$2,Assumptions!$C$94:$M$94,Assumptions!$C$95:$M$95))</f>
        <v>-2953.168835</v>
      </c>
      <c r="EA15" s="54">
        <f t="array" ref="EA15">-EA$13*IF(EA$2=Assumptions!$D$68,Assumptions!$D$67,XLOOKUP(EA$2,Assumptions!$C$94:$M$94,Assumptions!$C$95:$M$95))</f>
        <v>-2953.168835</v>
      </c>
      <c r="EB15" s="54">
        <f t="array" ref="EB15">-EB$13*IF(EB$2=Assumptions!$D$68,Assumptions!$D$67,XLOOKUP(EB$2,Assumptions!$C$94:$M$94,Assumptions!$C$95:$M$95))</f>
        <v>-2953.168835</v>
      </c>
      <c r="EC15" s="54">
        <f t="array" ref="EC15">-EC$13*IF(EC$2=Assumptions!$D$68,Assumptions!$D$67,XLOOKUP(EC$2,Assumptions!$C$94:$M$94,Assumptions!$C$95:$M$95))</f>
        <v>-2953.168835</v>
      </c>
      <c r="ED15" s="54">
        <f t="array" ref="ED15">-ED$13*IF(ED$2=Assumptions!$D$68,Assumptions!$D$67,XLOOKUP(ED$2,Assumptions!$C$94:$M$94,Assumptions!$C$95:$M$95))</f>
        <v>-2953.168835</v>
      </c>
      <c r="EE15" s="54">
        <f t="array" ref="EE15">-EE$13*IF(EE$2=Assumptions!$D$68,Assumptions!$D$67,XLOOKUP(EE$2,Assumptions!$C$94:$M$94,Assumptions!$C$95:$M$95))</f>
        <v>-2953.168835</v>
      </c>
    </row>
    <row r="16" ht="15.75" customHeight="1">
      <c r="A16" s="1"/>
      <c r="B16" s="1"/>
      <c r="C16" s="1" t="str">
        <f>Assumptions!J15</f>
        <v>Bad Debt </v>
      </c>
      <c r="D16" s="54">
        <f>-D$13*Assumptions!$V15</f>
        <v>-1098.71748</v>
      </c>
      <c r="E16" s="54">
        <f>-E$13*Assumptions!$V15</f>
        <v>-1098.71748</v>
      </c>
      <c r="F16" s="54">
        <f>-F$13*Assumptions!$V15</f>
        <v>-1098.71748</v>
      </c>
      <c r="G16" s="54">
        <f>-G$13*Assumptions!$V15</f>
        <v>-1098.71748</v>
      </c>
      <c r="H16" s="54">
        <f>-H$13*Assumptions!$V15</f>
        <v>-1098.71748</v>
      </c>
      <c r="I16" s="54">
        <f>-I$13*Assumptions!$V15</f>
        <v>-1098.71748</v>
      </c>
      <c r="J16" s="54">
        <f>-J$13*Assumptions!$V15</f>
        <v>-1098.71748</v>
      </c>
      <c r="K16" s="54">
        <f>-K$13*Assumptions!$V15</f>
        <v>-1098.71748</v>
      </c>
      <c r="L16" s="54">
        <f>-L$13*Assumptions!$V15</f>
        <v>-1098.71748</v>
      </c>
      <c r="M16" s="54">
        <f>-M$13*Assumptions!$V15</f>
        <v>-1098.71748</v>
      </c>
      <c r="N16" s="54">
        <f>-N$13*Assumptions!$V15</f>
        <v>-1098.71748</v>
      </c>
      <c r="O16" s="54">
        <f>-O$13*Assumptions!$V15</f>
        <v>-1098.71748</v>
      </c>
      <c r="P16" s="54">
        <f>-P$13*Assumptions!$V15</f>
        <v>-1131.679004</v>
      </c>
      <c r="Q16" s="54">
        <f>-Q$13*Assumptions!$V15</f>
        <v>-1131.679004</v>
      </c>
      <c r="R16" s="54">
        <f>-R$13*Assumptions!$V15</f>
        <v>-1131.679004</v>
      </c>
      <c r="S16" s="54">
        <f>-S$13*Assumptions!$V15</f>
        <v>-1131.679004</v>
      </c>
      <c r="T16" s="54">
        <f>-T$13*Assumptions!$V15</f>
        <v>-1131.679004</v>
      </c>
      <c r="U16" s="54">
        <f>-U$13*Assumptions!$V15</f>
        <v>-1131.679004</v>
      </c>
      <c r="V16" s="54">
        <f>-V$13*Assumptions!$V15</f>
        <v>-1131.679004</v>
      </c>
      <c r="W16" s="54">
        <f>-W$13*Assumptions!$V15</f>
        <v>-1131.679004</v>
      </c>
      <c r="X16" s="54">
        <f>-X$13*Assumptions!$V15</f>
        <v>-1131.679004</v>
      </c>
      <c r="Y16" s="54">
        <f>-Y$13*Assumptions!$V15</f>
        <v>-1131.679004</v>
      </c>
      <c r="Z16" s="54">
        <f>-Z$13*Assumptions!$V15</f>
        <v>-1131.679004</v>
      </c>
      <c r="AA16" s="54">
        <f>-AA$13*Assumptions!$V15</f>
        <v>-1131.679004</v>
      </c>
      <c r="AB16" s="54">
        <f>-AB$13*Assumptions!$V15</f>
        <v>-1165.629375</v>
      </c>
      <c r="AC16" s="54">
        <f>-AC$13*Assumptions!$V15</f>
        <v>-1165.629375</v>
      </c>
      <c r="AD16" s="54">
        <f>-AD$13*Assumptions!$V15</f>
        <v>-1165.629375</v>
      </c>
      <c r="AE16" s="54">
        <f>-AE$13*Assumptions!$V15</f>
        <v>-1165.629375</v>
      </c>
      <c r="AF16" s="54">
        <f>-AF$13*Assumptions!$V15</f>
        <v>-1165.629375</v>
      </c>
      <c r="AG16" s="54">
        <f>-AG$13*Assumptions!$V15</f>
        <v>-1165.629375</v>
      </c>
      <c r="AH16" s="54">
        <f>-AH$13*Assumptions!$V15</f>
        <v>-1165.629375</v>
      </c>
      <c r="AI16" s="54">
        <f>-AI$13*Assumptions!$V15</f>
        <v>-1165.629375</v>
      </c>
      <c r="AJ16" s="54">
        <f>-AJ$13*Assumptions!$V15</f>
        <v>-1165.629375</v>
      </c>
      <c r="AK16" s="54">
        <f>-AK$13*Assumptions!$V15</f>
        <v>-1165.629375</v>
      </c>
      <c r="AL16" s="54">
        <f>-AL$13*Assumptions!$V15</f>
        <v>-1165.629375</v>
      </c>
      <c r="AM16" s="54">
        <f>-AM$13*Assumptions!$V15</f>
        <v>-1165.629375</v>
      </c>
      <c r="AN16" s="54">
        <f>-AN$13*Assumptions!$V15</f>
        <v>-1200.598256</v>
      </c>
      <c r="AO16" s="54">
        <f>-AO$13*Assumptions!$V15</f>
        <v>-1200.598256</v>
      </c>
      <c r="AP16" s="54">
        <f>-AP$13*Assumptions!$V15</f>
        <v>-1200.598256</v>
      </c>
      <c r="AQ16" s="54">
        <f>-AQ$13*Assumptions!$V15</f>
        <v>-1200.598256</v>
      </c>
      <c r="AR16" s="54">
        <f>-AR$13*Assumptions!$V15</f>
        <v>-1200.598256</v>
      </c>
      <c r="AS16" s="54">
        <f>-AS$13*Assumptions!$V15</f>
        <v>-1200.598256</v>
      </c>
      <c r="AT16" s="54">
        <f>-AT$13*Assumptions!$V15</f>
        <v>-1200.598256</v>
      </c>
      <c r="AU16" s="54">
        <f>-AU$13*Assumptions!$V15</f>
        <v>-1200.598256</v>
      </c>
      <c r="AV16" s="54">
        <f>-AV$13*Assumptions!$V15</f>
        <v>-1200.598256</v>
      </c>
      <c r="AW16" s="54">
        <f>-AW$13*Assumptions!$V15</f>
        <v>-1200.598256</v>
      </c>
      <c r="AX16" s="54">
        <f>-AX$13*Assumptions!$V15</f>
        <v>-1200.598256</v>
      </c>
      <c r="AY16" s="54">
        <f>-AY$13*Assumptions!$V15</f>
        <v>-1200.598256</v>
      </c>
      <c r="AZ16" s="54">
        <f>-AZ$13*Assumptions!$V15</f>
        <v>-1236.616203</v>
      </c>
      <c r="BA16" s="54">
        <f>-BA$13*Assumptions!$V15</f>
        <v>-1236.616203</v>
      </c>
      <c r="BB16" s="54">
        <f>-BB$13*Assumptions!$V15</f>
        <v>-1236.616203</v>
      </c>
      <c r="BC16" s="54">
        <f>-BC$13*Assumptions!$V15</f>
        <v>-1236.616203</v>
      </c>
      <c r="BD16" s="54">
        <f>-BD$13*Assumptions!$V15</f>
        <v>-1236.616203</v>
      </c>
      <c r="BE16" s="54">
        <f>-BE$13*Assumptions!$V15</f>
        <v>-1236.616203</v>
      </c>
      <c r="BF16" s="54">
        <f>-BF$13*Assumptions!$V15</f>
        <v>-1236.616203</v>
      </c>
      <c r="BG16" s="54">
        <f>-BG$13*Assumptions!$V15</f>
        <v>-1236.616203</v>
      </c>
      <c r="BH16" s="54">
        <f>-BH$13*Assumptions!$V15</f>
        <v>-1236.616203</v>
      </c>
      <c r="BI16" s="54">
        <f>-BI$13*Assumptions!$V15</f>
        <v>-1236.616203</v>
      </c>
      <c r="BJ16" s="54">
        <f>-BJ$13*Assumptions!$V15</f>
        <v>-1236.616203</v>
      </c>
      <c r="BK16" s="54">
        <f>-BK$13*Assumptions!$V15</f>
        <v>-1236.616203</v>
      </c>
      <c r="BL16" s="54">
        <f>-BL$13*Assumptions!$V15</f>
        <v>-1273.71469</v>
      </c>
      <c r="BM16" s="54">
        <f>-BM$13*Assumptions!$V15</f>
        <v>-1273.71469</v>
      </c>
      <c r="BN16" s="54">
        <f>-BN$13*Assumptions!$V15</f>
        <v>-1273.71469</v>
      </c>
      <c r="BO16" s="54">
        <f>-BO$13*Assumptions!$V15</f>
        <v>-1273.71469</v>
      </c>
      <c r="BP16" s="54">
        <f>-BP$13*Assumptions!$V15</f>
        <v>-1273.71469</v>
      </c>
      <c r="BQ16" s="54">
        <f>-BQ$13*Assumptions!$V15</f>
        <v>-1273.71469</v>
      </c>
      <c r="BR16" s="54">
        <f>-BR$13*Assumptions!$V15</f>
        <v>-1273.71469</v>
      </c>
      <c r="BS16" s="54">
        <f>-BS$13*Assumptions!$V15</f>
        <v>-1273.71469</v>
      </c>
      <c r="BT16" s="54">
        <f>-BT$13*Assumptions!$V15</f>
        <v>-1273.71469</v>
      </c>
      <c r="BU16" s="54">
        <f>-BU$13*Assumptions!$V15</f>
        <v>-1273.71469</v>
      </c>
      <c r="BV16" s="54">
        <f>-BV$13*Assumptions!$V15</f>
        <v>-1273.71469</v>
      </c>
      <c r="BW16" s="54">
        <f>-BW$13*Assumptions!$V15</f>
        <v>-1273.71469</v>
      </c>
      <c r="BX16" s="54">
        <f>-BX$13*Assumptions!$V15</f>
        <v>-1311.92613</v>
      </c>
      <c r="BY16" s="54">
        <f>-BY$13*Assumptions!$V15</f>
        <v>-1311.92613</v>
      </c>
      <c r="BZ16" s="54">
        <f>-BZ$13*Assumptions!$V15</f>
        <v>-1311.92613</v>
      </c>
      <c r="CA16" s="54">
        <f>-CA$13*Assumptions!$V15</f>
        <v>-1311.92613</v>
      </c>
      <c r="CB16" s="54">
        <f>-CB$13*Assumptions!$V15</f>
        <v>-1311.92613</v>
      </c>
      <c r="CC16" s="54">
        <f>-CC$13*Assumptions!$V15</f>
        <v>-1311.92613</v>
      </c>
      <c r="CD16" s="54">
        <f>-CD$13*Assumptions!$V15</f>
        <v>-1311.92613</v>
      </c>
      <c r="CE16" s="54">
        <f>-CE$13*Assumptions!$V15</f>
        <v>-1311.92613</v>
      </c>
      <c r="CF16" s="54">
        <f>-CF$13*Assumptions!$V15</f>
        <v>-1311.92613</v>
      </c>
      <c r="CG16" s="54">
        <f>-CG$13*Assumptions!$V15</f>
        <v>-1311.92613</v>
      </c>
      <c r="CH16" s="54">
        <f>-CH$13*Assumptions!$V15</f>
        <v>-1311.92613</v>
      </c>
      <c r="CI16" s="54">
        <f>-CI$13*Assumptions!$V15</f>
        <v>-1311.92613</v>
      </c>
      <c r="CJ16" s="54">
        <f>-CJ$13*Assumptions!$V15</f>
        <v>-1351.283914</v>
      </c>
      <c r="CK16" s="54">
        <f>-CK$13*Assumptions!$V15</f>
        <v>-1351.283914</v>
      </c>
      <c r="CL16" s="54">
        <f>-CL$13*Assumptions!$V15</f>
        <v>-1351.283914</v>
      </c>
      <c r="CM16" s="54">
        <f>-CM$13*Assumptions!$V15</f>
        <v>-1351.283914</v>
      </c>
      <c r="CN16" s="54">
        <f>-CN$13*Assumptions!$V15</f>
        <v>-1351.283914</v>
      </c>
      <c r="CO16" s="54">
        <f>-CO$13*Assumptions!$V15</f>
        <v>-1351.283914</v>
      </c>
      <c r="CP16" s="54">
        <f>-CP$13*Assumptions!$V15</f>
        <v>-1351.283914</v>
      </c>
      <c r="CQ16" s="54">
        <f>-CQ$13*Assumptions!$V15</f>
        <v>-1351.283914</v>
      </c>
      <c r="CR16" s="54">
        <f>-CR$13*Assumptions!$V15</f>
        <v>-1351.283914</v>
      </c>
      <c r="CS16" s="54">
        <f>-CS$13*Assumptions!$V15</f>
        <v>-1351.283914</v>
      </c>
      <c r="CT16" s="54">
        <f>-CT$13*Assumptions!$V15</f>
        <v>-1351.283914</v>
      </c>
      <c r="CU16" s="54">
        <f>-CU$13*Assumptions!$V15</f>
        <v>-1351.283914</v>
      </c>
      <c r="CV16" s="54">
        <f>-CV$13*Assumptions!$V15</f>
        <v>-1391.822432</v>
      </c>
      <c r="CW16" s="54">
        <f>-CW$13*Assumptions!$V15</f>
        <v>-1391.822432</v>
      </c>
      <c r="CX16" s="54">
        <f>-CX$13*Assumptions!$V15</f>
        <v>-1391.822432</v>
      </c>
      <c r="CY16" s="54">
        <f>-CY$13*Assumptions!$V15</f>
        <v>-1391.822432</v>
      </c>
      <c r="CZ16" s="54">
        <f>-CZ$13*Assumptions!$V15</f>
        <v>-1391.822432</v>
      </c>
      <c r="DA16" s="54">
        <f>-DA$13*Assumptions!$V15</f>
        <v>-1391.822432</v>
      </c>
      <c r="DB16" s="54">
        <f>-DB$13*Assumptions!$V15</f>
        <v>-1391.822432</v>
      </c>
      <c r="DC16" s="54">
        <f>-DC$13*Assumptions!$V15</f>
        <v>-1391.822432</v>
      </c>
      <c r="DD16" s="54">
        <f>-DD$13*Assumptions!$V15</f>
        <v>-1391.822432</v>
      </c>
      <c r="DE16" s="54">
        <f>-DE$13*Assumptions!$V15</f>
        <v>-1391.822432</v>
      </c>
      <c r="DF16" s="54">
        <f>-DF$13*Assumptions!$V15</f>
        <v>-1391.822432</v>
      </c>
      <c r="DG16" s="54">
        <f>-DG$13*Assumptions!$V15</f>
        <v>-1391.822432</v>
      </c>
      <c r="DH16" s="54">
        <f>-DH$13*Assumptions!$V15</f>
        <v>-1433.577105</v>
      </c>
      <c r="DI16" s="54">
        <f>-DI$13*Assumptions!$V15</f>
        <v>-1433.577105</v>
      </c>
      <c r="DJ16" s="54">
        <f>-DJ$13*Assumptions!$V15</f>
        <v>-1433.577105</v>
      </c>
      <c r="DK16" s="54">
        <f>-DK$13*Assumptions!$V15</f>
        <v>-1433.577105</v>
      </c>
      <c r="DL16" s="54">
        <f>-DL$13*Assumptions!$V15</f>
        <v>-1433.577105</v>
      </c>
      <c r="DM16" s="54">
        <f>-DM$13*Assumptions!$V15</f>
        <v>-1433.577105</v>
      </c>
      <c r="DN16" s="54">
        <f>-DN$13*Assumptions!$V15</f>
        <v>-1433.577105</v>
      </c>
      <c r="DO16" s="54">
        <f>-DO$13*Assumptions!$V15</f>
        <v>-1433.577105</v>
      </c>
      <c r="DP16" s="54">
        <f>-DP$13*Assumptions!$V15</f>
        <v>-1433.577105</v>
      </c>
      <c r="DQ16" s="54">
        <f>-DQ$13*Assumptions!$V15</f>
        <v>-1433.577105</v>
      </c>
      <c r="DR16" s="54">
        <f>-DR$13*Assumptions!$V15</f>
        <v>-1433.577105</v>
      </c>
      <c r="DS16" s="54">
        <f>-DS$13*Assumptions!$V15</f>
        <v>-1433.577105</v>
      </c>
      <c r="DT16" s="54">
        <f>-DT$13*Assumptions!$V15</f>
        <v>-1476.584418</v>
      </c>
      <c r="DU16" s="54">
        <f>-DU$13*Assumptions!$V15</f>
        <v>-1476.584418</v>
      </c>
      <c r="DV16" s="54">
        <f>-DV$13*Assumptions!$V15</f>
        <v>-1476.584418</v>
      </c>
      <c r="DW16" s="54">
        <f>-DW$13*Assumptions!$V15</f>
        <v>-1476.584418</v>
      </c>
      <c r="DX16" s="54">
        <f>-DX$13*Assumptions!$V15</f>
        <v>-1476.584418</v>
      </c>
      <c r="DY16" s="54">
        <f>-DY$13*Assumptions!$V15</f>
        <v>-1476.584418</v>
      </c>
      <c r="DZ16" s="54">
        <f>-DZ$13*Assumptions!$V15</f>
        <v>-1476.584418</v>
      </c>
      <c r="EA16" s="54">
        <f>-EA$13*Assumptions!$V15</f>
        <v>-1476.584418</v>
      </c>
      <c r="EB16" s="54">
        <f>-EB$13*Assumptions!$V15</f>
        <v>-1476.584418</v>
      </c>
      <c r="EC16" s="54">
        <f>-EC$13*Assumptions!$V15</f>
        <v>-1476.584418</v>
      </c>
      <c r="ED16" s="54">
        <f>-ED$13*Assumptions!$V15</f>
        <v>-1476.584418</v>
      </c>
      <c r="EE16" s="54">
        <f>-EE$13*Assumptions!$V15</f>
        <v>-1476.584418</v>
      </c>
    </row>
    <row r="17" ht="15.75" customHeight="1">
      <c r="A17" s="1"/>
      <c r="B17" s="1"/>
      <c r="C17" s="1" t="str">
        <f>Assumptions!J16</f>
        <v>Concession</v>
      </c>
      <c r="D17" s="54">
        <f>-D$13*Assumptions!$V16</f>
        <v>-1098.71748</v>
      </c>
      <c r="E17" s="54">
        <f>-E$13*Assumptions!$V16</f>
        <v>-1098.71748</v>
      </c>
      <c r="F17" s="54">
        <f>-F$13*Assumptions!$V16</f>
        <v>-1098.71748</v>
      </c>
      <c r="G17" s="54">
        <f>-G$13*Assumptions!$V16</f>
        <v>-1098.71748</v>
      </c>
      <c r="H17" s="54">
        <f>-H$13*Assumptions!$V16</f>
        <v>-1098.71748</v>
      </c>
      <c r="I17" s="54">
        <f>-I$13*Assumptions!$V16</f>
        <v>-1098.71748</v>
      </c>
      <c r="J17" s="54">
        <f>-J$13*Assumptions!$V16</f>
        <v>-1098.71748</v>
      </c>
      <c r="K17" s="54">
        <f>-K$13*Assumptions!$V16</f>
        <v>-1098.71748</v>
      </c>
      <c r="L17" s="54">
        <f>-L$13*Assumptions!$V16</f>
        <v>-1098.71748</v>
      </c>
      <c r="M17" s="54">
        <f>-M$13*Assumptions!$V16</f>
        <v>-1098.71748</v>
      </c>
      <c r="N17" s="54">
        <f>-N$13*Assumptions!$V16</f>
        <v>-1098.71748</v>
      </c>
      <c r="O17" s="54">
        <f>-O$13*Assumptions!$V16</f>
        <v>-1098.71748</v>
      </c>
      <c r="P17" s="54">
        <f>-P$13*Assumptions!$V16</f>
        <v>-1131.679004</v>
      </c>
      <c r="Q17" s="54">
        <f>-Q$13*Assumptions!$V16</f>
        <v>-1131.679004</v>
      </c>
      <c r="R17" s="54">
        <f>-R$13*Assumptions!$V16</f>
        <v>-1131.679004</v>
      </c>
      <c r="S17" s="54">
        <f>-S$13*Assumptions!$V16</f>
        <v>-1131.679004</v>
      </c>
      <c r="T17" s="54">
        <f>-T$13*Assumptions!$V16</f>
        <v>-1131.679004</v>
      </c>
      <c r="U17" s="54">
        <f>-U$13*Assumptions!$V16</f>
        <v>-1131.679004</v>
      </c>
      <c r="V17" s="54">
        <f>-V$13*Assumptions!$V16</f>
        <v>-1131.679004</v>
      </c>
      <c r="W17" s="54">
        <f>-W$13*Assumptions!$V16</f>
        <v>-1131.679004</v>
      </c>
      <c r="X17" s="54">
        <f>-X$13*Assumptions!$V16</f>
        <v>-1131.679004</v>
      </c>
      <c r="Y17" s="54">
        <f>-Y$13*Assumptions!$V16</f>
        <v>-1131.679004</v>
      </c>
      <c r="Z17" s="54">
        <f>-Z$13*Assumptions!$V16</f>
        <v>-1131.679004</v>
      </c>
      <c r="AA17" s="54">
        <f>-AA$13*Assumptions!$V16</f>
        <v>-1131.679004</v>
      </c>
      <c r="AB17" s="54">
        <f>-AB$13*Assumptions!$V16</f>
        <v>-1165.629375</v>
      </c>
      <c r="AC17" s="54">
        <f>-AC$13*Assumptions!$V16</f>
        <v>-1165.629375</v>
      </c>
      <c r="AD17" s="54">
        <f>-AD$13*Assumptions!$V16</f>
        <v>-1165.629375</v>
      </c>
      <c r="AE17" s="54">
        <f>-AE$13*Assumptions!$V16</f>
        <v>-1165.629375</v>
      </c>
      <c r="AF17" s="54">
        <f>-AF$13*Assumptions!$V16</f>
        <v>-1165.629375</v>
      </c>
      <c r="AG17" s="54">
        <f>-AG$13*Assumptions!$V16</f>
        <v>-1165.629375</v>
      </c>
      <c r="AH17" s="54">
        <f>-AH$13*Assumptions!$V16</f>
        <v>-1165.629375</v>
      </c>
      <c r="AI17" s="54">
        <f>-AI$13*Assumptions!$V16</f>
        <v>-1165.629375</v>
      </c>
      <c r="AJ17" s="54">
        <f>-AJ$13*Assumptions!$V16</f>
        <v>-1165.629375</v>
      </c>
      <c r="AK17" s="54">
        <f>-AK$13*Assumptions!$V16</f>
        <v>-1165.629375</v>
      </c>
      <c r="AL17" s="54">
        <f>-AL$13*Assumptions!$V16</f>
        <v>-1165.629375</v>
      </c>
      <c r="AM17" s="54">
        <f>-AM$13*Assumptions!$V16</f>
        <v>-1165.629375</v>
      </c>
      <c r="AN17" s="54">
        <f>-AN$13*Assumptions!$V16</f>
        <v>-1200.598256</v>
      </c>
      <c r="AO17" s="54">
        <f>-AO$13*Assumptions!$V16</f>
        <v>-1200.598256</v>
      </c>
      <c r="AP17" s="54">
        <f>-AP$13*Assumptions!$V16</f>
        <v>-1200.598256</v>
      </c>
      <c r="AQ17" s="54">
        <f>-AQ$13*Assumptions!$V16</f>
        <v>-1200.598256</v>
      </c>
      <c r="AR17" s="54">
        <f>-AR$13*Assumptions!$V16</f>
        <v>-1200.598256</v>
      </c>
      <c r="AS17" s="54">
        <f>-AS$13*Assumptions!$V16</f>
        <v>-1200.598256</v>
      </c>
      <c r="AT17" s="54">
        <f>-AT$13*Assumptions!$V16</f>
        <v>-1200.598256</v>
      </c>
      <c r="AU17" s="54">
        <f>-AU$13*Assumptions!$V16</f>
        <v>-1200.598256</v>
      </c>
      <c r="AV17" s="54">
        <f>-AV$13*Assumptions!$V16</f>
        <v>-1200.598256</v>
      </c>
      <c r="AW17" s="54">
        <f>-AW$13*Assumptions!$V16</f>
        <v>-1200.598256</v>
      </c>
      <c r="AX17" s="54">
        <f>-AX$13*Assumptions!$V16</f>
        <v>-1200.598256</v>
      </c>
      <c r="AY17" s="54">
        <f>-AY$13*Assumptions!$V16</f>
        <v>-1200.598256</v>
      </c>
      <c r="AZ17" s="54">
        <f>-AZ$13*Assumptions!$V16</f>
        <v>-1236.616203</v>
      </c>
      <c r="BA17" s="54">
        <f>-BA$13*Assumptions!$V16</f>
        <v>-1236.616203</v>
      </c>
      <c r="BB17" s="54">
        <f>-BB$13*Assumptions!$V16</f>
        <v>-1236.616203</v>
      </c>
      <c r="BC17" s="54">
        <f>-BC$13*Assumptions!$V16</f>
        <v>-1236.616203</v>
      </c>
      <c r="BD17" s="54">
        <f>-BD$13*Assumptions!$V16</f>
        <v>-1236.616203</v>
      </c>
      <c r="BE17" s="54">
        <f>-BE$13*Assumptions!$V16</f>
        <v>-1236.616203</v>
      </c>
      <c r="BF17" s="54">
        <f>-BF$13*Assumptions!$V16</f>
        <v>-1236.616203</v>
      </c>
      <c r="BG17" s="54">
        <f>-BG$13*Assumptions!$V16</f>
        <v>-1236.616203</v>
      </c>
      <c r="BH17" s="54">
        <f>-BH$13*Assumptions!$V16</f>
        <v>-1236.616203</v>
      </c>
      <c r="BI17" s="54">
        <f>-BI$13*Assumptions!$V16</f>
        <v>-1236.616203</v>
      </c>
      <c r="BJ17" s="54">
        <f>-BJ$13*Assumptions!$V16</f>
        <v>-1236.616203</v>
      </c>
      <c r="BK17" s="54">
        <f>-BK$13*Assumptions!$V16</f>
        <v>-1236.616203</v>
      </c>
      <c r="BL17" s="54">
        <f>-BL$13*Assumptions!$V16</f>
        <v>-1273.71469</v>
      </c>
      <c r="BM17" s="54">
        <f>-BM$13*Assumptions!$V16</f>
        <v>-1273.71469</v>
      </c>
      <c r="BN17" s="54">
        <f>-BN$13*Assumptions!$V16</f>
        <v>-1273.71469</v>
      </c>
      <c r="BO17" s="54">
        <f>-BO$13*Assumptions!$V16</f>
        <v>-1273.71469</v>
      </c>
      <c r="BP17" s="54">
        <f>-BP$13*Assumptions!$V16</f>
        <v>-1273.71469</v>
      </c>
      <c r="BQ17" s="54">
        <f>-BQ$13*Assumptions!$V16</f>
        <v>-1273.71469</v>
      </c>
      <c r="BR17" s="54">
        <f>-BR$13*Assumptions!$V16</f>
        <v>-1273.71469</v>
      </c>
      <c r="BS17" s="54">
        <f>-BS$13*Assumptions!$V16</f>
        <v>-1273.71469</v>
      </c>
      <c r="BT17" s="54">
        <f>-BT$13*Assumptions!$V16</f>
        <v>-1273.71469</v>
      </c>
      <c r="BU17" s="54">
        <f>-BU$13*Assumptions!$V16</f>
        <v>-1273.71469</v>
      </c>
      <c r="BV17" s="54">
        <f>-BV$13*Assumptions!$V16</f>
        <v>-1273.71469</v>
      </c>
      <c r="BW17" s="54">
        <f>-BW$13*Assumptions!$V16</f>
        <v>-1273.71469</v>
      </c>
      <c r="BX17" s="54">
        <f>-BX$13*Assumptions!$V16</f>
        <v>-1311.92613</v>
      </c>
      <c r="BY17" s="54">
        <f>-BY$13*Assumptions!$V16</f>
        <v>-1311.92613</v>
      </c>
      <c r="BZ17" s="54">
        <f>-BZ$13*Assumptions!$V16</f>
        <v>-1311.92613</v>
      </c>
      <c r="CA17" s="54">
        <f>-CA$13*Assumptions!$V16</f>
        <v>-1311.92613</v>
      </c>
      <c r="CB17" s="54">
        <f>-CB$13*Assumptions!$V16</f>
        <v>-1311.92613</v>
      </c>
      <c r="CC17" s="54">
        <f>-CC$13*Assumptions!$V16</f>
        <v>-1311.92613</v>
      </c>
      <c r="CD17" s="54">
        <f>-CD$13*Assumptions!$V16</f>
        <v>-1311.92613</v>
      </c>
      <c r="CE17" s="54">
        <f>-CE$13*Assumptions!$V16</f>
        <v>-1311.92613</v>
      </c>
      <c r="CF17" s="54">
        <f>-CF$13*Assumptions!$V16</f>
        <v>-1311.92613</v>
      </c>
      <c r="CG17" s="54">
        <f>-CG$13*Assumptions!$V16</f>
        <v>-1311.92613</v>
      </c>
      <c r="CH17" s="54">
        <f>-CH$13*Assumptions!$V16</f>
        <v>-1311.92613</v>
      </c>
      <c r="CI17" s="54">
        <f>-CI$13*Assumptions!$V16</f>
        <v>-1311.92613</v>
      </c>
      <c r="CJ17" s="54">
        <f>-CJ$13*Assumptions!$V16</f>
        <v>-1351.283914</v>
      </c>
      <c r="CK17" s="54">
        <f>-CK$13*Assumptions!$V16</f>
        <v>-1351.283914</v>
      </c>
      <c r="CL17" s="54">
        <f>-CL$13*Assumptions!$V16</f>
        <v>-1351.283914</v>
      </c>
      <c r="CM17" s="54">
        <f>-CM$13*Assumptions!$V16</f>
        <v>-1351.283914</v>
      </c>
      <c r="CN17" s="54">
        <f>-CN$13*Assumptions!$V16</f>
        <v>-1351.283914</v>
      </c>
      <c r="CO17" s="54">
        <f>-CO$13*Assumptions!$V16</f>
        <v>-1351.283914</v>
      </c>
      <c r="CP17" s="54">
        <f>-CP$13*Assumptions!$V16</f>
        <v>-1351.283914</v>
      </c>
      <c r="CQ17" s="54">
        <f>-CQ$13*Assumptions!$V16</f>
        <v>-1351.283914</v>
      </c>
      <c r="CR17" s="54">
        <f>-CR$13*Assumptions!$V16</f>
        <v>-1351.283914</v>
      </c>
      <c r="CS17" s="54">
        <f>-CS$13*Assumptions!$V16</f>
        <v>-1351.283914</v>
      </c>
      <c r="CT17" s="54">
        <f>-CT$13*Assumptions!$V16</f>
        <v>-1351.283914</v>
      </c>
      <c r="CU17" s="54">
        <f>-CU$13*Assumptions!$V16</f>
        <v>-1351.283914</v>
      </c>
      <c r="CV17" s="54">
        <f>-CV$13*Assumptions!$V16</f>
        <v>-1391.822432</v>
      </c>
      <c r="CW17" s="54">
        <f>-CW$13*Assumptions!$V16</f>
        <v>-1391.822432</v>
      </c>
      <c r="CX17" s="54">
        <f>-CX$13*Assumptions!$V16</f>
        <v>-1391.822432</v>
      </c>
      <c r="CY17" s="54">
        <f>-CY$13*Assumptions!$V16</f>
        <v>-1391.822432</v>
      </c>
      <c r="CZ17" s="54">
        <f>-CZ$13*Assumptions!$V16</f>
        <v>-1391.822432</v>
      </c>
      <c r="DA17" s="54">
        <f>-DA$13*Assumptions!$V16</f>
        <v>-1391.822432</v>
      </c>
      <c r="DB17" s="54">
        <f>-DB$13*Assumptions!$V16</f>
        <v>-1391.822432</v>
      </c>
      <c r="DC17" s="54">
        <f>-DC$13*Assumptions!$V16</f>
        <v>-1391.822432</v>
      </c>
      <c r="DD17" s="54">
        <f>-DD$13*Assumptions!$V16</f>
        <v>-1391.822432</v>
      </c>
      <c r="DE17" s="54">
        <f>-DE$13*Assumptions!$V16</f>
        <v>-1391.822432</v>
      </c>
      <c r="DF17" s="54">
        <f>-DF$13*Assumptions!$V16</f>
        <v>-1391.822432</v>
      </c>
      <c r="DG17" s="54">
        <f>-DG$13*Assumptions!$V16</f>
        <v>-1391.822432</v>
      </c>
      <c r="DH17" s="54">
        <f>-DH$13*Assumptions!$V16</f>
        <v>-1433.577105</v>
      </c>
      <c r="DI17" s="54">
        <f>-DI$13*Assumptions!$V16</f>
        <v>-1433.577105</v>
      </c>
      <c r="DJ17" s="54">
        <f>-DJ$13*Assumptions!$V16</f>
        <v>-1433.577105</v>
      </c>
      <c r="DK17" s="54">
        <f>-DK$13*Assumptions!$V16</f>
        <v>-1433.577105</v>
      </c>
      <c r="DL17" s="54">
        <f>-DL$13*Assumptions!$V16</f>
        <v>-1433.577105</v>
      </c>
      <c r="DM17" s="54">
        <f>-DM$13*Assumptions!$V16</f>
        <v>-1433.577105</v>
      </c>
      <c r="DN17" s="54">
        <f>-DN$13*Assumptions!$V16</f>
        <v>-1433.577105</v>
      </c>
      <c r="DO17" s="54">
        <f>-DO$13*Assumptions!$V16</f>
        <v>-1433.577105</v>
      </c>
      <c r="DP17" s="54">
        <f>-DP$13*Assumptions!$V16</f>
        <v>-1433.577105</v>
      </c>
      <c r="DQ17" s="54">
        <f>-DQ$13*Assumptions!$V16</f>
        <v>-1433.577105</v>
      </c>
      <c r="DR17" s="54">
        <f>-DR$13*Assumptions!$V16</f>
        <v>-1433.577105</v>
      </c>
      <c r="DS17" s="54">
        <f>-DS$13*Assumptions!$V16</f>
        <v>-1433.577105</v>
      </c>
      <c r="DT17" s="54">
        <f>-DT$13*Assumptions!$V16</f>
        <v>-1476.584418</v>
      </c>
      <c r="DU17" s="54">
        <f>-DU$13*Assumptions!$V16</f>
        <v>-1476.584418</v>
      </c>
      <c r="DV17" s="54">
        <f>-DV$13*Assumptions!$V16</f>
        <v>-1476.584418</v>
      </c>
      <c r="DW17" s="54">
        <f>-DW$13*Assumptions!$V16</f>
        <v>-1476.584418</v>
      </c>
      <c r="DX17" s="54">
        <f>-DX$13*Assumptions!$V16</f>
        <v>-1476.584418</v>
      </c>
      <c r="DY17" s="54">
        <f>-DY$13*Assumptions!$V16</f>
        <v>-1476.584418</v>
      </c>
      <c r="DZ17" s="54">
        <f>-DZ$13*Assumptions!$V16</f>
        <v>-1476.584418</v>
      </c>
      <c r="EA17" s="54">
        <f>-EA$13*Assumptions!$V16</f>
        <v>-1476.584418</v>
      </c>
      <c r="EB17" s="54">
        <f>-EB$13*Assumptions!$V16</f>
        <v>-1476.584418</v>
      </c>
      <c r="EC17" s="54">
        <f>-EC$13*Assumptions!$V16</f>
        <v>-1476.584418</v>
      </c>
      <c r="ED17" s="54">
        <f>-ED$13*Assumptions!$V16</f>
        <v>-1476.584418</v>
      </c>
      <c r="EE17" s="54">
        <f>-EE$13*Assumptions!$V16</f>
        <v>-1476.584418</v>
      </c>
    </row>
    <row r="18" ht="15.75" customHeight="1">
      <c r="A18" s="1"/>
      <c r="B18" s="6"/>
      <c r="C18" s="63" t="s">
        <v>63</v>
      </c>
      <c r="D18" s="207">
        <f t="shared" ref="D18:EE18" si="4">D13+D15+D16+D17</f>
        <v>102180.7256</v>
      </c>
      <c r="E18" s="207">
        <f t="shared" si="4"/>
        <v>102180.7256</v>
      </c>
      <c r="F18" s="207">
        <f t="shared" si="4"/>
        <v>102180.7256</v>
      </c>
      <c r="G18" s="207">
        <f t="shared" si="4"/>
        <v>102180.7256</v>
      </c>
      <c r="H18" s="207">
        <f t="shared" si="4"/>
        <v>102180.7256</v>
      </c>
      <c r="I18" s="207">
        <f t="shared" si="4"/>
        <v>102180.7256</v>
      </c>
      <c r="J18" s="207">
        <f t="shared" si="4"/>
        <v>102180.7256</v>
      </c>
      <c r="K18" s="207">
        <f t="shared" si="4"/>
        <v>102180.7256</v>
      </c>
      <c r="L18" s="207">
        <f t="shared" si="4"/>
        <v>102180.7256</v>
      </c>
      <c r="M18" s="207">
        <f t="shared" si="4"/>
        <v>102180.7256</v>
      </c>
      <c r="N18" s="207">
        <f t="shared" si="4"/>
        <v>102180.7256</v>
      </c>
      <c r="O18" s="207">
        <f t="shared" si="4"/>
        <v>102180.7256</v>
      </c>
      <c r="P18" s="207">
        <f t="shared" si="4"/>
        <v>108641.1844</v>
      </c>
      <c r="Q18" s="207">
        <f t="shared" si="4"/>
        <v>108641.1844</v>
      </c>
      <c r="R18" s="207">
        <f t="shared" si="4"/>
        <v>108641.1844</v>
      </c>
      <c r="S18" s="207">
        <f t="shared" si="4"/>
        <v>108641.1844</v>
      </c>
      <c r="T18" s="207">
        <f t="shared" si="4"/>
        <v>108641.1844</v>
      </c>
      <c r="U18" s="207">
        <f t="shared" si="4"/>
        <v>108641.1844</v>
      </c>
      <c r="V18" s="207">
        <f t="shared" si="4"/>
        <v>108641.1844</v>
      </c>
      <c r="W18" s="207">
        <f t="shared" si="4"/>
        <v>108641.1844</v>
      </c>
      <c r="X18" s="207">
        <f t="shared" si="4"/>
        <v>108641.1844</v>
      </c>
      <c r="Y18" s="207">
        <f t="shared" si="4"/>
        <v>108641.1844</v>
      </c>
      <c r="Z18" s="207">
        <f t="shared" si="4"/>
        <v>108641.1844</v>
      </c>
      <c r="AA18" s="207">
        <f t="shared" si="4"/>
        <v>108641.1844</v>
      </c>
      <c r="AB18" s="207">
        <f t="shared" si="4"/>
        <v>111900.42</v>
      </c>
      <c r="AC18" s="207">
        <f t="shared" si="4"/>
        <v>111900.42</v>
      </c>
      <c r="AD18" s="207">
        <f t="shared" si="4"/>
        <v>111900.42</v>
      </c>
      <c r="AE18" s="207">
        <f t="shared" si="4"/>
        <v>111900.42</v>
      </c>
      <c r="AF18" s="207">
        <f t="shared" si="4"/>
        <v>111900.42</v>
      </c>
      <c r="AG18" s="207">
        <f t="shared" si="4"/>
        <v>111900.42</v>
      </c>
      <c r="AH18" s="207">
        <f t="shared" si="4"/>
        <v>111900.42</v>
      </c>
      <c r="AI18" s="207">
        <f t="shared" si="4"/>
        <v>111900.42</v>
      </c>
      <c r="AJ18" s="207">
        <f t="shared" si="4"/>
        <v>111900.42</v>
      </c>
      <c r="AK18" s="207">
        <f t="shared" si="4"/>
        <v>111900.42</v>
      </c>
      <c r="AL18" s="207">
        <f t="shared" si="4"/>
        <v>111900.42</v>
      </c>
      <c r="AM18" s="207">
        <f t="shared" si="4"/>
        <v>111900.42</v>
      </c>
      <c r="AN18" s="207">
        <f t="shared" si="4"/>
        <v>115257.4326</v>
      </c>
      <c r="AO18" s="207">
        <f t="shared" si="4"/>
        <v>115257.4326</v>
      </c>
      <c r="AP18" s="207">
        <f t="shared" si="4"/>
        <v>115257.4326</v>
      </c>
      <c r="AQ18" s="207">
        <f t="shared" si="4"/>
        <v>115257.4326</v>
      </c>
      <c r="AR18" s="207">
        <f t="shared" si="4"/>
        <v>115257.4326</v>
      </c>
      <c r="AS18" s="207">
        <f t="shared" si="4"/>
        <v>115257.4326</v>
      </c>
      <c r="AT18" s="207">
        <f t="shared" si="4"/>
        <v>115257.4326</v>
      </c>
      <c r="AU18" s="207">
        <f t="shared" si="4"/>
        <v>115257.4326</v>
      </c>
      <c r="AV18" s="207">
        <f t="shared" si="4"/>
        <v>115257.4326</v>
      </c>
      <c r="AW18" s="207">
        <f t="shared" si="4"/>
        <v>115257.4326</v>
      </c>
      <c r="AX18" s="207">
        <f t="shared" si="4"/>
        <v>115257.4326</v>
      </c>
      <c r="AY18" s="207">
        <f t="shared" si="4"/>
        <v>115257.4326</v>
      </c>
      <c r="AZ18" s="207">
        <f t="shared" si="4"/>
        <v>118715.1555</v>
      </c>
      <c r="BA18" s="207">
        <f t="shared" si="4"/>
        <v>118715.1555</v>
      </c>
      <c r="BB18" s="207">
        <f t="shared" si="4"/>
        <v>118715.1555</v>
      </c>
      <c r="BC18" s="207">
        <f t="shared" si="4"/>
        <v>118715.1555</v>
      </c>
      <c r="BD18" s="207">
        <f t="shared" si="4"/>
        <v>118715.1555</v>
      </c>
      <c r="BE18" s="207">
        <f t="shared" si="4"/>
        <v>118715.1555</v>
      </c>
      <c r="BF18" s="207">
        <f t="shared" si="4"/>
        <v>118715.1555</v>
      </c>
      <c r="BG18" s="207">
        <f t="shared" si="4"/>
        <v>118715.1555</v>
      </c>
      <c r="BH18" s="207">
        <f t="shared" si="4"/>
        <v>118715.1555</v>
      </c>
      <c r="BI18" s="207">
        <f t="shared" si="4"/>
        <v>118715.1555</v>
      </c>
      <c r="BJ18" s="207">
        <f t="shared" si="4"/>
        <v>118715.1555</v>
      </c>
      <c r="BK18" s="207">
        <f t="shared" si="4"/>
        <v>118715.1555</v>
      </c>
      <c r="BL18" s="207">
        <f t="shared" si="4"/>
        <v>122276.6102</v>
      </c>
      <c r="BM18" s="207">
        <f t="shared" si="4"/>
        <v>122276.6102</v>
      </c>
      <c r="BN18" s="207">
        <f t="shared" si="4"/>
        <v>122276.6102</v>
      </c>
      <c r="BO18" s="207">
        <f t="shared" si="4"/>
        <v>122276.6102</v>
      </c>
      <c r="BP18" s="207">
        <f t="shared" si="4"/>
        <v>122276.6102</v>
      </c>
      <c r="BQ18" s="207">
        <f t="shared" si="4"/>
        <v>122276.6102</v>
      </c>
      <c r="BR18" s="207">
        <f t="shared" si="4"/>
        <v>122276.6102</v>
      </c>
      <c r="BS18" s="207">
        <f t="shared" si="4"/>
        <v>122276.6102</v>
      </c>
      <c r="BT18" s="207">
        <f t="shared" si="4"/>
        <v>122276.6102</v>
      </c>
      <c r="BU18" s="207">
        <f t="shared" si="4"/>
        <v>122276.6102</v>
      </c>
      <c r="BV18" s="207">
        <f t="shared" si="4"/>
        <v>122276.6102</v>
      </c>
      <c r="BW18" s="207">
        <f t="shared" si="4"/>
        <v>122276.6102</v>
      </c>
      <c r="BX18" s="207">
        <f t="shared" si="4"/>
        <v>125944.9085</v>
      </c>
      <c r="BY18" s="207">
        <f t="shared" si="4"/>
        <v>125944.9085</v>
      </c>
      <c r="BZ18" s="207">
        <f t="shared" si="4"/>
        <v>125944.9085</v>
      </c>
      <c r="CA18" s="207">
        <f t="shared" si="4"/>
        <v>125944.9085</v>
      </c>
      <c r="CB18" s="207">
        <f t="shared" si="4"/>
        <v>125944.9085</v>
      </c>
      <c r="CC18" s="207">
        <f t="shared" si="4"/>
        <v>125944.9085</v>
      </c>
      <c r="CD18" s="207">
        <f t="shared" si="4"/>
        <v>125944.9085</v>
      </c>
      <c r="CE18" s="207">
        <f t="shared" si="4"/>
        <v>125944.9085</v>
      </c>
      <c r="CF18" s="207">
        <f t="shared" si="4"/>
        <v>125944.9085</v>
      </c>
      <c r="CG18" s="207">
        <f t="shared" si="4"/>
        <v>125944.9085</v>
      </c>
      <c r="CH18" s="207">
        <f t="shared" si="4"/>
        <v>125944.9085</v>
      </c>
      <c r="CI18" s="207">
        <f t="shared" si="4"/>
        <v>125944.9085</v>
      </c>
      <c r="CJ18" s="207">
        <f t="shared" si="4"/>
        <v>129723.2558</v>
      </c>
      <c r="CK18" s="207">
        <f t="shared" si="4"/>
        <v>129723.2558</v>
      </c>
      <c r="CL18" s="207">
        <f t="shared" si="4"/>
        <v>129723.2558</v>
      </c>
      <c r="CM18" s="207">
        <f t="shared" si="4"/>
        <v>129723.2558</v>
      </c>
      <c r="CN18" s="207">
        <f t="shared" si="4"/>
        <v>129723.2558</v>
      </c>
      <c r="CO18" s="207">
        <f t="shared" si="4"/>
        <v>129723.2558</v>
      </c>
      <c r="CP18" s="207">
        <f t="shared" si="4"/>
        <v>129723.2558</v>
      </c>
      <c r="CQ18" s="207">
        <f t="shared" si="4"/>
        <v>129723.2558</v>
      </c>
      <c r="CR18" s="207">
        <f t="shared" si="4"/>
        <v>129723.2558</v>
      </c>
      <c r="CS18" s="207">
        <f t="shared" si="4"/>
        <v>129723.2558</v>
      </c>
      <c r="CT18" s="207">
        <f t="shared" si="4"/>
        <v>129723.2558</v>
      </c>
      <c r="CU18" s="207">
        <f t="shared" si="4"/>
        <v>129723.2558</v>
      </c>
      <c r="CV18" s="207">
        <f t="shared" si="4"/>
        <v>133614.9534</v>
      </c>
      <c r="CW18" s="207">
        <f t="shared" si="4"/>
        <v>133614.9534</v>
      </c>
      <c r="CX18" s="207">
        <f t="shared" si="4"/>
        <v>133614.9534</v>
      </c>
      <c r="CY18" s="207">
        <f t="shared" si="4"/>
        <v>133614.9534</v>
      </c>
      <c r="CZ18" s="207">
        <f t="shared" si="4"/>
        <v>133614.9534</v>
      </c>
      <c r="DA18" s="207">
        <f t="shared" si="4"/>
        <v>133614.9534</v>
      </c>
      <c r="DB18" s="207">
        <f t="shared" si="4"/>
        <v>133614.9534</v>
      </c>
      <c r="DC18" s="207">
        <f t="shared" si="4"/>
        <v>133614.9534</v>
      </c>
      <c r="DD18" s="207">
        <f t="shared" si="4"/>
        <v>133614.9534</v>
      </c>
      <c r="DE18" s="207">
        <f t="shared" si="4"/>
        <v>133614.9534</v>
      </c>
      <c r="DF18" s="207">
        <f t="shared" si="4"/>
        <v>133614.9534</v>
      </c>
      <c r="DG18" s="207">
        <f t="shared" si="4"/>
        <v>133614.9534</v>
      </c>
      <c r="DH18" s="207">
        <f t="shared" si="4"/>
        <v>133322.6707</v>
      </c>
      <c r="DI18" s="207">
        <f t="shared" si="4"/>
        <v>133322.6707</v>
      </c>
      <c r="DJ18" s="207">
        <f t="shared" si="4"/>
        <v>133322.6707</v>
      </c>
      <c r="DK18" s="207">
        <f t="shared" si="4"/>
        <v>133322.6707</v>
      </c>
      <c r="DL18" s="207">
        <f t="shared" si="4"/>
        <v>133322.6707</v>
      </c>
      <c r="DM18" s="207">
        <f t="shared" si="4"/>
        <v>133322.6707</v>
      </c>
      <c r="DN18" s="207">
        <f t="shared" si="4"/>
        <v>133322.6707</v>
      </c>
      <c r="DO18" s="207">
        <f t="shared" si="4"/>
        <v>133322.6707</v>
      </c>
      <c r="DP18" s="207">
        <f t="shared" si="4"/>
        <v>133322.6707</v>
      </c>
      <c r="DQ18" s="207">
        <f t="shared" si="4"/>
        <v>133322.6707</v>
      </c>
      <c r="DR18" s="207">
        <f t="shared" si="4"/>
        <v>133322.6707</v>
      </c>
      <c r="DS18" s="207">
        <f t="shared" si="4"/>
        <v>133322.6707</v>
      </c>
      <c r="DT18" s="207">
        <f t="shared" si="4"/>
        <v>141752.1041</v>
      </c>
      <c r="DU18" s="207">
        <f t="shared" si="4"/>
        <v>141752.1041</v>
      </c>
      <c r="DV18" s="207">
        <f t="shared" si="4"/>
        <v>141752.1041</v>
      </c>
      <c r="DW18" s="207">
        <f t="shared" si="4"/>
        <v>141752.1041</v>
      </c>
      <c r="DX18" s="207">
        <f t="shared" si="4"/>
        <v>141752.1041</v>
      </c>
      <c r="DY18" s="207">
        <f t="shared" si="4"/>
        <v>141752.1041</v>
      </c>
      <c r="DZ18" s="207">
        <f t="shared" si="4"/>
        <v>141752.1041</v>
      </c>
      <c r="EA18" s="207">
        <f t="shared" si="4"/>
        <v>141752.1041</v>
      </c>
      <c r="EB18" s="207">
        <f t="shared" si="4"/>
        <v>141752.1041</v>
      </c>
      <c r="EC18" s="207">
        <f t="shared" si="4"/>
        <v>141752.1041</v>
      </c>
      <c r="ED18" s="207">
        <f t="shared" si="4"/>
        <v>141752.1041</v>
      </c>
      <c r="EE18" s="207">
        <f t="shared" si="4"/>
        <v>141752.1041</v>
      </c>
    </row>
    <row r="19" ht="15.75" customHeight="1">
      <c r="A19" s="1"/>
      <c r="B19" s="1"/>
      <c r="C19" s="1" t="str">
        <f>Assumptions!J19</f>
        <v>Other Income</v>
      </c>
      <c r="D19" s="54">
        <f t="array" ref="D19">IF(D$2=1,Assumptions!$X19/12,(SUMIF($D$2:$EE$2,D$2-1,$D19:$EE19)/12)*(1+XLOOKUP(D$2,Assumptions!$C$94:$M$94,Assumptions!$C$96:$M$96)))</f>
        <v>14232.14259</v>
      </c>
      <c r="E19" s="54">
        <f t="array" ref="E19">IF(E$2=1,Assumptions!$X19/12,(SUMIF($D$2:$EE$2,E$2-1,$D19:$EE19)/12)*(1+XLOOKUP(E$2,Assumptions!$C$94:$M$94,Assumptions!$C$96:$M$96)))</f>
        <v>14232.14259</v>
      </c>
      <c r="F19" s="54">
        <f t="array" ref="F19">IF(F$2=1,Assumptions!$X19/12,(SUMIF($D$2:$EE$2,F$2-1,$D19:$EE19)/12)*(1+XLOOKUP(F$2,Assumptions!$C$94:$M$94,Assumptions!$C$96:$M$96)))</f>
        <v>14232.14259</v>
      </c>
      <c r="G19" s="54">
        <f t="array" ref="G19">IF(G$2=1,Assumptions!$X19/12,(SUMIF($D$2:$EE$2,G$2-1,$D19:$EE19)/12)*(1+XLOOKUP(G$2,Assumptions!$C$94:$M$94,Assumptions!$C$96:$M$96)))</f>
        <v>14232.14259</v>
      </c>
      <c r="H19" s="54">
        <f t="array" ref="H19">IF(H$2=1,Assumptions!$X19/12,(SUMIF($D$2:$EE$2,H$2-1,$D19:$EE19)/12)*(1+XLOOKUP(H$2,Assumptions!$C$94:$M$94,Assumptions!$C$96:$M$96)))</f>
        <v>14232.14259</v>
      </c>
      <c r="I19" s="54">
        <f t="array" ref="I19">IF(I$2=1,Assumptions!$X19/12,(SUMIF($D$2:$EE$2,I$2-1,$D19:$EE19)/12)*(1+XLOOKUP(I$2,Assumptions!$C$94:$M$94,Assumptions!$C$96:$M$96)))</f>
        <v>14232.14259</v>
      </c>
      <c r="J19" s="54">
        <f t="array" ref="J19">IF(J$2=1,Assumptions!$X19/12,(SUMIF($D$2:$EE$2,J$2-1,$D19:$EE19)/12)*(1+XLOOKUP(J$2,Assumptions!$C$94:$M$94,Assumptions!$C$96:$M$96)))</f>
        <v>14232.14259</v>
      </c>
      <c r="K19" s="54">
        <f t="array" ref="K19">IF(K$2=1,Assumptions!$X19/12,(SUMIF($D$2:$EE$2,K$2-1,$D19:$EE19)/12)*(1+XLOOKUP(K$2,Assumptions!$C$94:$M$94,Assumptions!$C$96:$M$96)))</f>
        <v>14232.14259</v>
      </c>
      <c r="L19" s="54">
        <f t="array" ref="L19">IF(L$2=1,Assumptions!$X19/12,(SUMIF($D$2:$EE$2,L$2-1,$D19:$EE19)/12)*(1+XLOOKUP(L$2,Assumptions!$C$94:$M$94,Assumptions!$C$96:$M$96)))</f>
        <v>14232.14259</v>
      </c>
      <c r="M19" s="54">
        <f t="array" ref="M19">IF(M$2=1,Assumptions!$X19/12,(SUMIF($D$2:$EE$2,M$2-1,$D19:$EE19)/12)*(1+XLOOKUP(M$2,Assumptions!$C$94:$M$94,Assumptions!$C$96:$M$96)))</f>
        <v>14232.14259</v>
      </c>
      <c r="N19" s="54">
        <f t="array" ref="N19">IF(N$2=1,Assumptions!$X19/12,(SUMIF($D$2:$EE$2,N$2-1,$D19:$EE19)/12)*(1+XLOOKUP(N$2,Assumptions!$C$94:$M$94,Assumptions!$C$96:$M$96)))</f>
        <v>14232.14259</v>
      </c>
      <c r="O19" s="54">
        <f t="array" ref="O19">IF(O$2=1,Assumptions!$X19/12,(SUMIF($D$2:$EE$2,O$2-1,$D19:$EE19)/12)*(1+XLOOKUP(O$2,Assumptions!$C$94:$M$94,Assumptions!$C$96:$M$96)))</f>
        <v>14232.14259</v>
      </c>
      <c r="P19" s="54">
        <f t="array" ref="P19">IF(P$2=1,Assumptions!$X19/12,(SUMIF($D$2:$EE$2,P$2-1,$D19:$EE19)/12)*(1+XLOOKUP(P$2,Assumptions!$C$94:$M$94,Assumptions!$C$96:$M$96)))</f>
        <v>14659.10687</v>
      </c>
      <c r="Q19" s="54">
        <f t="array" ref="Q19">IF(Q$2=1,Assumptions!$X19/12,(SUMIF($D$2:$EE$2,Q$2-1,$D19:$EE19)/12)*(1+XLOOKUP(Q$2,Assumptions!$C$94:$M$94,Assumptions!$C$96:$M$96)))</f>
        <v>14659.10687</v>
      </c>
      <c r="R19" s="54">
        <f t="array" ref="R19">IF(R$2=1,Assumptions!$X19/12,(SUMIF($D$2:$EE$2,R$2-1,$D19:$EE19)/12)*(1+XLOOKUP(R$2,Assumptions!$C$94:$M$94,Assumptions!$C$96:$M$96)))</f>
        <v>14659.10687</v>
      </c>
      <c r="S19" s="54">
        <f t="array" ref="S19">IF(S$2=1,Assumptions!$X19/12,(SUMIF($D$2:$EE$2,S$2-1,$D19:$EE19)/12)*(1+XLOOKUP(S$2,Assumptions!$C$94:$M$94,Assumptions!$C$96:$M$96)))</f>
        <v>14659.10687</v>
      </c>
      <c r="T19" s="54">
        <f t="array" ref="T19">IF(T$2=1,Assumptions!$X19/12,(SUMIF($D$2:$EE$2,T$2-1,$D19:$EE19)/12)*(1+XLOOKUP(T$2,Assumptions!$C$94:$M$94,Assumptions!$C$96:$M$96)))</f>
        <v>14659.10687</v>
      </c>
      <c r="U19" s="54">
        <f t="array" ref="U19">IF(U$2=1,Assumptions!$X19/12,(SUMIF($D$2:$EE$2,U$2-1,$D19:$EE19)/12)*(1+XLOOKUP(U$2,Assumptions!$C$94:$M$94,Assumptions!$C$96:$M$96)))</f>
        <v>14659.10687</v>
      </c>
      <c r="V19" s="54">
        <f t="array" ref="V19">IF(V$2=1,Assumptions!$X19/12,(SUMIF($D$2:$EE$2,V$2-1,$D19:$EE19)/12)*(1+XLOOKUP(V$2,Assumptions!$C$94:$M$94,Assumptions!$C$96:$M$96)))</f>
        <v>14659.10687</v>
      </c>
      <c r="W19" s="54">
        <f t="array" ref="W19">IF(W$2=1,Assumptions!$X19/12,(SUMIF($D$2:$EE$2,W$2-1,$D19:$EE19)/12)*(1+XLOOKUP(W$2,Assumptions!$C$94:$M$94,Assumptions!$C$96:$M$96)))</f>
        <v>14659.10687</v>
      </c>
      <c r="X19" s="54">
        <f t="array" ref="X19">IF(X$2=1,Assumptions!$X19/12,(SUMIF($D$2:$EE$2,X$2-1,$D19:$EE19)/12)*(1+XLOOKUP(X$2,Assumptions!$C$94:$M$94,Assumptions!$C$96:$M$96)))</f>
        <v>14659.10687</v>
      </c>
      <c r="Y19" s="54">
        <f t="array" ref="Y19">IF(Y$2=1,Assumptions!$X19/12,(SUMIF($D$2:$EE$2,Y$2-1,$D19:$EE19)/12)*(1+XLOOKUP(Y$2,Assumptions!$C$94:$M$94,Assumptions!$C$96:$M$96)))</f>
        <v>14659.10687</v>
      </c>
      <c r="Z19" s="54">
        <f t="array" ref="Z19">IF(Z$2=1,Assumptions!$X19/12,(SUMIF($D$2:$EE$2,Z$2-1,$D19:$EE19)/12)*(1+XLOOKUP(Z$2,Assumptions!$C$94:$M$94,Assumptions!$C$96:$M$96)))</f>
        <v>14659.10687</v>
      </c>
      <c r="AA19" s="54">
        <f t="array" ref="AA19">IF(AA$2=1,Assumptions!$X19/12,(SUMIF($D$2:$EE$2,AA$2-1,$D19:$EE19)/12)*(1+XLOOKUP(AA$2,Assumptions!$C$94:$M$94,Assumptions!$C$96:$M$96)))</f>
        <v>14659.10687</v>
      </c>
      <c r="AB19" s="54">
        <f t="array" ref="AB19">IF(AB$2=1,Assumptions!$X19/12,(SUMIF($D$2:$EE$2,AB$2-1,$D19:$EE19)/12)*(1+XLOOKUP(AB$2,Assumptions!$C$94:$M$94,Assumptions!$C$96:$M$96)))</f>
        <v>15098.88008</v>
      </c>
      <c r="AC19" s="54">
        <f t="array" ref="AC19">IF(AC$2=1,Assumptions!$X19/12,(SUMIF($D$2:$EE$2,AC$2-1,$D19:$EE19)/12)*(1+XLOOKUP(AC$2,Assumptions!$C$94:$M$94,Assumptions!$C$96:$M$96)))</f>
        <v>15098.88008</v>
      </c>
      <c r="AD19" s="54">
        <f t="array" ref="AD19">IF(AD$2=1,Assumptions!$X19/12,(SUMIF($D$2:$EE$2,AD$2-1,$D19:$EE19)/12)*(1+XLOOKUP(AD$2,Assumptions!$C$94:$M$94,Assumptions!$C$96:$M$96)))</f>
        <v>15098.88008</v>
      </c>
      <c r="AE19" s="54">
        <f t="array" ref="AE19">IF(AE$2=1,Assumptions!$X19/12,(SUMIF($D$2:$EE$2,AE$2-1,$D19:$EE19)/12)*(1+XLOOKUP(AE$2,Assumptions!$C$94:$M$94,Assumptions!$C$96:$M$96)))</f>
        <v>15098.88008</v>
      </c>
      <c r="AF19" s="54">
        <f t="array" ref="AF19">IF(AF$2=1,Assumptions!$X19/12,(SUMIF($D$2:$EE$2,AF$2-1,$D19:$EE19)/12)*(1+XLOOKUP(AF$2,Assumptions!$C$94:$M$94,Assumptions!$C$96:$M$96)))</f>
        <v>15098.88008</v>
      </c>
      <c r="AG19" s="54">
        <f t="array" ref="AG19">IF(AG$2=1,Assumptions!$X19/12,(SUMIF($D$2:$EE$2,AG$2-1,$D19:$EE19)/12)*(1+XLOOKUP(AG$2,Assumptions!$C$94:$M$94,Assumptions!$C$96:$M$96)))</f>
        <v>15098.88008</v>
      </c>
      <c r="AH19" s="54">
        <f t="array" ref="AH19">IF(AH$2=1,Assumptions!$X19/12,(SUMIF($D$2:$EE$2,AH$2-1,$D19:$EE19)/12)*(1+XLOOKUP(AH$2,Assumptions!$C$94:$M$94,Assumptions!$C$96:$M$96)))</f>
        <v>15098.88008</v>
      </c>
      <c r="AI19" s="54">
        <f t="array" ref="AI19">IF(AI$2=1,Assumptions!$X19/12,(SUMIF($D$2:$EE$2,AI$2-1,$D19:$EE19)/12)*(1+XLOOKUP(AI$2,Assumptions!$C$94:$M$94,Assumptions!$C$96:$M$96)))</f>
        <v>15098.88008</v>
      </c>
      <c r="AJ19" s="54">
        <f t="array" ref="AJ19">IF(AJ$2=1,Assumptions!$X19/12,(SUMIF($D$2:$EE$2,AJ$2-1,$D19:$EE19)/12)*(1+XLOOKUP(AJ$2,Assumptions!$C$94:$M$94,Assumptions!$C$96:$M$96)))</f>
        <v>15098.88008</v>
      </c>
      <c r="AK19" s="54">
        <f t="array" ref="AK19">IF(AK$2=1,Assumptions!$X19/12,(SUMIF($D$2:$EE$2,AK$2-1,$D19:$EE19)/12)*(1+XLOOKUP(AK$2,Assumptions!$C$94:$M$94,Assumptions!$C$96:$M$96)))</f>
        <v>15098.88008</v>
      </c>
      <c r="AL19" s="54">
        <f t="array" ref="AL19">IF(AL$2=1,Assumptions!$X19/12,(SUMIF($D$2:$EE$2,AL$2-1,$D19:$EE19)/12)*(1+XLOOKUP(AL$2,Assumptions!$C$94:$M$94,Assumptions!$C$96:$M$96)))</f>
        <v>15098.88008</v>
      </c>
      <c r="AM19" s="54">
        <f t="array" ref="AM19">IF(AM$2=1,Assumptions!$X19/12,(SUMIF($D$2:$EE$2,AM$2-1,$D19:$EE19)/12)*(1+XLOOKUP(AM$2,Assumptions!$C$94:$M$94,Assumptions!$C$96:$M$96)))</f>
        <v>15098.88008</v>
      </c>
      <c r="AN19" s="54">
        <f t="array" ref="AN19">IF(AN$2=1,Assumptions!$X19/12,(SUMIF($D$2:$EE$2,AN$2-1,$D19:$EE19)/12)*(1+XLOOKUP(AN$2,Assumptions!$C$94:$M$94,Assumptions!$C$96:$M$96)))</f>
        <v>15551.84648</v>
      </c>
      <c r="AO19" s="54">
        <f t="array" ref="AO19">IF(AO$2=1,Assumptions!$X19/12,(SUMIF($D$2:$EE$2,AO$2-1,$D19:$EE19)/12)*(1+XLOOKUP(AO$2,Assumptions!$C$94:$M$94,Assumptions!$C$96:$M$96)))</f>
        <v>15551.84648</v>
      </c>
      <c r="AP19" s="54">
        <f t="array" ref="AP19">IF(AP$2=1,Assumptions!$X19/12,(SUMIF($D$2:$EE$2,AP$2-1,$D19:$EE19)/12)*(1+XLOOKUP(AP$2,Assumptions!$C$94:$M$94,Assumptions!$C$96:$M$96)))</f>
        <v>15551.84648</v>
      </c>
      <c r="AQ19" s="54">
        <f t="array" ref="AQ19">IF(AQ$2=1,Assumptions!$X19/12,(SUMIF($D$2:$EE$2,AQ$2-1,$D19:$EE19)/12)*(1+XLOOKUP(AQ$2,Assumptions!$C$94:$M$94,Assumptions!$C$96:$M$96)))</f>
        <v>15551.84648</v>
      </c>
      <c r="AR19" s="54">
        <f t="array" ref="AR19">IF(AR$2=1,Assumptions!$X19/12,(SUMIF($D$2:$EE$2,AR$2-1,$D19:$EE19)/12)*(1+XLOOKUP(AR$2,Assumptions!$C$94:$M$94,Assumptions!$C$96:$M$96)))</f>
        <v>15551.84648</v>
      </c>
      <c r="AS19" s="54">
        <f t="array" ref="AS19">IF(AS$2=1,Assumptions!$X19/12,(SUMIF($D$2:$EE$2,AS$2-1,$D19:$EE19)/12)*(1+XLOOKUP(AS$2,Assumptions!$C$94:$M$94,Assumptions!$C$96:$M$96)))</f>
        <v>15551.84648</v>
      </c>
      <c r="AT19" s="54">
        <f t="array" ref="AT19">IF(AT$2=1,Assumptions!$X19/12,(SUMIF($D$2:$EE$2,AT$2-1,$D19:$EE19)/12)*(1+XLOOKUP(AT$2,Assumptions!$C$94:$M$94,Assumptions!$C$96:$M$96)))</f>
        <v>15551.84648</v>
      </c>
      <c r="AU19" s="54">
        <f t="array" ref="AU19">IF(AU$2=1,Assumptions!$X19/12,(SUMIF($D$2:$EE$2,AU$2-1,$D19:$EE19)/12)*(1+XLOOKUP(AU$2,Assumptions!$C$94:$M$94,Assumptions!$C$96:$M$96)))</f>
        <v>15551.84648</v>
      </c>
      <c r="AV19" s="54">
        <f t="array" ref="AV19">IF(AV$2=1,Assumptions!$X19/12,(SUMIF($D$2:$EE$2,AV$2-1,$D19:$EE19)/12)*(1+XLOOKUP(AV$2,Assumptions!$C$94:$M$94,Assumptions!$C$96:$M$96)))</f>
        <v>15551.84648</v>
      </c>
      <c r="AW19" s="54">
        <f t="array" ref="AW19">IF(AW$2=1,Assumptions!$X19/12,(SUMIF($D$2:$EE$2,AW$2-1,$D19:$EE19)/12)*(1+XLOOKUP(AW$2,Assumptions!$C$94:$M$94,Assumptions!$C$96:$M$96)))</f>
        <v>15551.84648</v>
      </c>
      <c r="AX19" s="54">
        <f t="array" ref="AX19">IF(AX$2=1,Assumptions!$X19/12,(SUMIF($D$2:$EE$2,AX$2-1,$D19:$EE19)/12)*(1+XLOOKUP(AX$2,Assumptions!$C$94:$M$94,Assumptions!$C$96:$M$96)))</f>
        <v>15551.84648</v>
      </c>
      <c r="AY19" s="54">
        <f t="array" ref="AY19">IF(AY$2=1,Assumptions!$X19/12,(SUMIF($D$2:$EE$2,AY$2-1,$D19:$EE19)/12)*(1+XLOOKUP(AY$2,Assumptions!$C$94:$M$94,Assumptions!$C$96:$M$96)))</f>
        <v>15551.84648</v>
      </c>
      <c r="AZ19" s="54">
        <f t="array" ref="AZ19">IF(AZ$2=1,Assumptions!$X19/12,(SUMIF($D$2:$EE$2,AZ$2-1,$D19:$EE19)/12)*(1+XLOOKUP(AZ$2,Assumptions!$C$94:$M$94,Assumptions!$C$96:$M$96)))</f>
        <v>16018.40187</v>
      </c>
      <c r="BA19" s="54">
        <f t="array" ref="BA19">IF(BA$2=1,Assumptions!$X19/12,(SUMIF($D$2:$EE$2,BA$2-1,$D19:$EE19)/12)*(1+XLOOKUP(BA$2,Assumptions!$C$94:$M$94,Assumptions!$C$96:$M$96)))</f>
        <v>16018.40187</v>
      </c>
      <c r="BB19" s="54">
        <f t="array" ref="BB19">IF(BB$2=1,Assumptions!$X19/12,(SUMIF($D$2:$EE$2,BB$2-1,$D19:$EE19)/12)*(1+XLOOKUP(BB$2,Assumptions!$C$94:$M$94,Assumptions!$C$96:$M$96)))</f>
        <v>16018.40187</v>
      </c>
      <c r="BC19" s="54">
        <f t="array" ref="BC19">IF(BC$2=1,Assumptions!$X19/12,(SUMIF($D$2:$EE$2,BC$2-1,$D19:$EE19)/12)*(1+XLOOKUP(BC$2,Assumptions!$C$94:$M$94,Assumptions!$C$96:$M$96)))</f>
        <v>16018.40187</v>
      </c>
      <c r="BD19" s="54">
        <f t="array" ref="BD19">IF(BD$2=1,Assumptions!$X19/12,(SUMIF($D$2:$EE$2,BD$2-1,$D19:$EE19)/12)*(1+XLOOKUP(BD$2,Assumptions!$C$94:$M$94,Assumptions!$C$96:$M$96)))</f>
        <v>16018.40187</v>
      </c>
      <c r="BE19" s="54">
        <f t="array" ref="BE19">IF(BE$2=1,Assumptions!$X19/12,(SUMIF($D$2:$EE$2,BE$2-1,$D19:$EE19)/12)*(1+XLOOKUP(BE$2,Assumptions!$C$94:$M$94,Assumptions!$C$96:$M$96)))</f>
        <v>16018.40187</v>
      </c>
      <c r="BF19" s="54">
        <f t="array" ref="BF19">IF(BF$2=1,Assumptions!$X19/12,(SUMIF($D$2:$EE$2,BF$2-1,$D19:$EE19)/12)*(1+XLOOKUP(BF$2,Assumptions!$C$94:$M$94,Assumptions!$C$96:$M$96)))</f>
        <v>16018.40187</v>
      </c>
      <c r="BG19" s="54">
        <f t="array" ref="BG19">IF(BG$2=1,Assumptions!$X19/12,(SUMIF($D$2:$EE$2,BG$2-1,$D19:$EE19)/12)*(1+XLOOKUP(BG$2,Assumptions!$C$94:$M$94,Assumptions!$C$96:$M$96)))</f>
        <v>16018.40187</v>
      </c>
      <c r="BH19" s="54">
        <f t="array" ref="BH19">IF(BH$2=1,Assumptions!$X19/12,(SUMIF($D$2:$EE$2,BH$2-1,$D19:$EE19)/12)*(1+XLOOKUP(BH$2,Assumptions!$C$94:$M$94,Assumptions!$C$96:$M$96)))</f>
        <v>16018.40187</v>
      </c>
      <c r="BI19" s="54">
        <f t="array" ref="BI19">IF(BI$2=1,Assumptions!$X19/12,(SUMIF($D$2:$EE$2,BI$2-1,$D19:$EE19)/12)*(1+XLOOKUP(BI$2,Assumptions!$C$94:$M$94,Assumptions!$C$96:$M$96)))</f>
        <v>16018.40187</v>
      </c>
      <c r="BJ19" s="54">
        <f t="array" ref="BJ19">IF(BJ$2=1,Assumptions!$X19/12,(SUMIF($D$2:$EE$2,BJ$2-1,$D19:$EE19)/12)*(1+XLOOKUP(BJ$2,Assumptions!$C$94:$M$94,Assumptions!$C$96:$M$96)))</f>
        <v>16018.40187</v>
      </c>
      <c r="BK19" s="54">
        <f t="array" ref="BK19">IF(BK$2=1,Assumptions!$X19/12,(SUMIF($D$2:$EE$2,BK$2-1,$D19:$EE19)/12)*(1+XLOOKUP(BK$2,Assumptions!$C$94:$M$94,Assumptions!$C$96:$M$96)))</f>
        <v>16018.40187</v>
      </c>
      <c r="BL19" s="54">
        <f t="array" ref="BL19">IF(BL$2=1,Assumptions!$X19/12,(SUMIF($D$2:$EE$2,BL$2-1,$D19:$EE19)/12)*(1+XLOOKUP(BL$2,Assumptions!$C$94:$M$94,Assumptions!$C$96:$M$96)))</f>
        <v>16498.95393</v>
      </c>
      <c r="BM19" s="54">
        <f t="array" ref="BM19">IF(BM$2=1,Assumptions!$X19/12,(SUMIF($D$2:$EE$2,BM$2-1,$D19:$EE19)/12)*(1+XLOOKUP(BM$2,Assumptions!$C$94:$M$94,Assumptions!$C$96:$M$96)))</f>
        <v>16498.95393</v>
      </c>
      <c r="BN19" s="54">
        <f t="array" ref="BN19">IF(BN$2=1,Assumptions!$X19/12,(SUMIF($D$2:$EE$2,BN$2-1,$D19:$EE19)/12)*(1+XLOOKUP(BN$2,Assumptions!$C$94:$M$94,Assumptions!$C$96:$M$96)))</f>
        <v>16498.95393</v>
      </c>
      <c r="BO19" s="54">
        <f t="array" ref="BO19">IF(BO$2=1,Assumptions!$X19/12,(SUMIF($D$2:$EE$2,BO$2-1,$D19:$EE19)/12)*(1+XLOOKUP(BO$2,Assumptions!$C$94:$M$94,Assumptions!$C$96:$M$96)))</f>
        <v>16498.95393</v>
      </c>
      <c r="BP19" s="54">
        <f t="array" ref="BP19">IF(BP$2=1,Assumptions!$X19/12,(SUMIF($D$2:$EE$2,BP$2-1,$D19:$EE19)/12)*(1+XLOOKUP(BP$2,Assumptions!$C$94:$M$94,Assumptions!$C$96:$M$96)))</f>
        <v>16498.95393</v>
      </c>
      <c r="BQ19" s="54">
        <f t="array" ref="BQ19">IF(BQ$2=1,Assumptions!$X19/12,(SUMIF($D$2:$EE$2,BQ$2-1,$D19:$EE19)/12)*(1+XLOOKUP(BQ$2,Assumptions!$C$94:$M$94,Assumptions!$C$96:$M$96)))</f>
        <v>16498.95393</v>
      </c>
      <c r="BR19" s="54">
        <f t="array" ref="BR19">IF(BR$2=1,Assumptions!$X19/12,(SUMIF($D$2:$EE$2,BR$2-1,$D19:$EE19)/12)*(1+XLOOKUP(BR$2,Assumptions!$C$94:$M$94,Assumptions!$C$96:$M$96)))</f>
        <v>16498.95393</v>
      </c>
      <c r="BS19" s="54">
        <f t="array" ref="BS19">IF(BS$2=1,Assumptions!$X19/12,(SUMIF($D$2:$EE$2,BS$2-1,$D19:$EE19)/12)*(1+XLOOKUP(BS$2,Assumptions!$C$94:$M$94,Assumptions!$C$96:$M$96)))</f>
        <v>16498.95393</v>
      </c>
      <c r="BT19" s="54">
        <f t="array" ref="BT19">IF(BT$2=1,Assumptions!$X19/12,(SUMIF($D$2:$EE$2,BT$2-1,$D19:$EE19)/12)*(1+XLOOKUP(BT$2,Assumptions!$C$94:$M$94,Assumptions!$C$96:$M$96)))</f>
        <v>16498.95393</v>
      </c>
      <c r="BU19" s="54">
        <f t="array" ref="BU19">IF(BU$2=1,Assumptions!$X19/12,(SUMIF($D$2:$EE$2,BU$2-1,$D19:$EE19)/12)*(1+XLOOKUP(BU$2,Assumptions!$C$94:$M$94,Assumptions!$C$96:$M$96)))</f>
        <v>16498.95393</v>
      </c>
      <c r="BV19" s="54">
        <f t="array" ref="BV19">IF(BV$2=1,Assumptions!$X19/12,(SUMIF($D$2:$EE$2,BV$2-1,$D19:$EE19)/12)*(1+XLOOKUP(BV$2,Assumptions!$C$94:$M$94,Assumptions!$C$96:$M$96)))</f>
        <v>16498.95393</v>
      </c>
      <c r="BW19" s="54">
        <f t="array" ref="BW19">IF(BW$2=1,Assumptions!$X19/12,(SUMIF($D$2:$EE$2,BW$2-1,$D19:$EE19)/12)*(1+XLOOKUP(BW$2,Assumptions!$C$94:$M$94,Assumptions!$C$96:$M$96)))</f>
        <v>16498.95393</v>
      </c>
      <c r="BX19" s="54">
        <f t="array" ref="BX19">IF(BX$2=1,Assumptions!$X19/12,(SUMIF($D$2:$EE$2,BX$2-1,$D19:$EE19)/12)*(1+XLOOKUP(BX$2,Assumptions!$C$94:$M$94,Assumptions!$C$96:$M$96)))</f>
        <v>16993.92255</v>
      </c>
      <c r="BY19" s="54">
        <f t="array" ref="BY19">IF(BY$2=1,Assumptions!$X19/12,(SUMIF($D$2:$EE$2,BY$2-1,$D19:$EE19)/12)*(1+XLOOKUP(BY$2,Assumptions!$C$94:$M$94,Assumptions!$C$96:$M$96)))</f>
        <v>16993.92255</v>
      </c>
      <c r="BZ19" s="54">
        <f t="array" ref="BZ19">IF(BZ$2=1,Assumptions!$X19/12,(SUMIF($D$2:$EE$2,BZ$2-1,$D19:$EE19)/12)*(1+XLOOKUP(BZ$2,Assumptions!$C$94:$M$94,Assumptions!$C$96:$M$96)))</f>
        <v>16993.92255</v>
      </c>
      <c r="CA19" s="54">
        <f t="array" ref="CA19">IF(CA$2=1,Assumptions!$X19/12,(SUMIF($D$2:$EE$2,CA$2-1,$D19:$EE19)/12)*(1+XLOOKUP(CA$2,Assumptions!$C$94:$M$94,Assumptions!$C$96:$M$96)))</f>
        <v>16993.92255</v>
      </c>
      <c r="CB19" s="54">
        <f t="array" ref="CB19">IF(CB$2=1,Assumptions!$X19/12,(SUMIF($D$2:$EE$2,CB$2-1,$D19:$EE19)/12)*(1+XLOOKUP(CB$2,Assumptions!$C$94:$M$94,Assumptions!$C$96:$M$96)))</f>
        <v>16993.92255</v>
      </c>
      <c r="CC19" s="54">
        <f t="array" ref="CC19">IF(CC$2=1,Assumptions!$X19/12,(SUMIF($D$2:$EE$2,CC$2-1,$D19:$EE19)/12)*(1+XLOOKUP(CC$2,Assumptions!$C$94:$M$94,Assumptions!$C$96:$M$96)))</f>
        <v>16993.92255</v>
      </c>
      <c r="CD19" s="54">
        <f t="array" ref="CD19">IF(CD$2=1,Assumptions!$X19/12,(SUMIF($D$2:$EE$2,CD$2-1,$D19:$EE19)/12)*(1+XLOOKUP(CD$2,Assumptions!$C$94:$M$94,Assumptions!$C$96:$M$96)))</f>
        <v>16993.92255</v>
      </c>
      <c r="CE19" s="54">
        <f t="array" ref="CE19">IF(CE$2=1,Assumptions!$X19/12,(SUMIF($D$2:$EE$2,CE$2-1,$D19:$EE19)/12)*(1+XLOOKUP(CE$2,Assumptions!$C$94:$M$94,Assumptions!$C$96:$M$96)))</f>
        <v>16993.92255</v>
      </c>
      <c r="CF19" s="54">
        <f t="array" ref="CF19">IF(CF$2=1,Assumptions!$X19/12,(SUMIF($D$2:$EE$2,CF$2-1,$D19:$EE19)/12)*(1+XLOOKUP(CF$2,Assumptions!$C$94:$M$94,Assumptions!$C$96:$M$96)))</f>
        <v>16993.92255</v>
      </c>
      <c r="CG19" s="54">
        <f t="array" ref="CG19">IF(CG$2=1,Assumptions!$X19/12,(SUMIF($D$2:$EE$2,CG$2-1,$D19:$EE19)/12)*(1+XLOOKUP(CG$2,Assumptions!$C$94:$M$94,Assumptions!$C$96:$M$96)))</f>
        <v>16993.92255</v>
      </c>
      <c r="CH19" s="54">
        <f t="array" ref="CH19">IF(CH$2=1,Assumptions!$X19/12,(SUMIF($D$2:$EE$2,CH$2-1,$D19:$EE19)/12)*(1+XLOOKUP(CH$2,Assumptions!$C$94:$M$94,Assumptions!$C$96:$M$96)))</f>
        <v>16993.92255</v>
      </c>
      <c r="CI19" s="54">
        <f t="array" ref="CI19">IF(CI$2=1,Assumptions!$X19/12,(SUMIF($D$2:$EE$2,CI$2-1,$D19:$EE19)/12)*(1+XLOOKUP(CI$2,Assumptions!$C$94:$M$94,Assumptions!$C$96:$M$96)))</f>
        <v>16993.92255</v>
      </c>
      <c r="CJ19" s="54">
        <f t="array" ref="CJ19">IF(CJ$2=1,Assumptions!$X19/12,(SUMIF($D$2:$EE$2,CJ$2-1,$D19:$EE19)/12)*(1+XLOOKUP(CJ$2,Assumptions!$C$94:$M$94,Assumptions!$C$96:$M$96)))</f>
        <v>17503.74022</v>
      </c>
      <c r="CK19" s="54">
        <f t="array" ref="CK19">IF(CK$2=1,Assumptions!$X19/12,(SUMIF($D$2:$EE$2,CK$2-1,$D19:$EE19)/12)*(1+XLOOKUP(CK$2,Assumptions!$C$94:$M$94,Assumptions!$C$96:$M$96)))</f>
        <v>17503.74022</v>
      </c>
      <c r="CL19" s="54">
        <f t="array" ref="CL19">IF(CL$2=1,Assumptions!$X19/12,(SUMIF($D$2:$EE$2,CL$2-1,$D19:$EE19)/12)*(1+XLOOKUP(CL$2,Assumptions!$C$94:$M$94,Assumptions!$C$96:$M$96)))</f>
        <v>17503.74022</v>
      </c>
      <c r="CM19" s="54">
        <f t="array" ref="CM19">IF(CM$2=1,Assumptions!$X19/12,(SUMIF($D$2:$EE$2,CM$2-1,$D19:$EE19)/12)*(1+XLOOKUP(CM$2,Assumptions!$C$94:$M$94,Assumptions!$C$96:$M$96)))</f>
        <v>17503.74022</v>
      </c>
      <c r="CN19" s="54">
        <f t="array" ref="CN19">IF(CN$2=1,Assumptions!$X19/12,(SUMIF($D$2:$EE$2,CN$2-1,$D19:$EE19)/12)*(1+XLOOKUP(CN$2,Assumptions!$C$94:$M$94,Assumptions!$C$96:$M$96)))</f>
        <v>17503.74022</v>
      </c>
      <c r="CO19" s="54">
        <f t="array" ref="CO19">IF(CO$2=1,Assumptions!$X19/12,(SUMIF($D$2:$EE$2,CO$2-1,$D19:$EE19)/12)*(1+XLOOKUP(CO$2,Assumptions!$C$94:$M$94,Assumptions!$C$96:$M$96)))</f>
        <v>17503.74022</v>
      </c>
      <c r="CP19" s="54">
        <f t="array" ref="CP19">IF(CP$2=1,Assumptions!$X19/12,(SUMIF($D$2:$EE$2,CP$2-1,$D19:$EE19)/12)*(1+XLOOKUP(CP$2,Assumptions!$C$94:$M$94,Assumptions!$C$96:$M$96)))</f>
        <v>17503.74022</v>
      </c>
      <c r="CQ19" s="54">
        <f t="array" ref="CQ19">IF(CQ$2=1,Assumptions!$X19/12,(SUMIF($D$2:$EE$2,CQ$2-1,$D19:$EE19)/12)*(1+XLOOKUP(CQ$2,Assumptions!$C$94:$M$94,Assumptions!$C$96:$M$96)))</f>
        <v>17503.74022</v>
      </c>
      <c r="CR19" s="54">
        <f t="array" ref="CR19">IF(CR$2=1,Assumptions!$X19/12,(SUMIF($D$2:$EE$2,CR$2-1,$D19:$EE19)/12)*(1+XLOOKUP(CR$2,Assumptions!$C$94:$M$94,Assumptions!$C$96:$M$96)))</f>
        <v>17503.74022</v>
      </c>
      <c r="CS19" s="54">
        <f t="array" ref="CS19">IF(CS$2=1,Assumptions!$X19/12,(SUMIF($D$2:$EE$2,CS$2-1,$D19:$EE19)/12)*(1+XLOOKUP(CS$2,Assumptions!$C$94:$M$94,Assumptions!$C$96:$M$96)))</f>
        <v>17503.74022</v>
      </c>
      <c r="CT19" s="54">
        <f t="array" ref="CT19">IF(CT$2=1,Assumptions!$X19/12,(SUMIF($D$2:$EE$2,CT$2-1,$D19:$EE19)/12)*(1+XLOOKUP(CT$2,Assumptions!$C$94:$M$94,Assumptions!$C$96:$M$96)))</f>
        <v>17503.74022</v>
      </c>
      <c r="CU19" s="54">
        <f t="array" ref="CU19">IF(CU$2=1,Assumptions!$X19/12,(SUMIF($D$2:$EE$2,CU$2-1,$D19:$EE19)/12)*(1+XLOOKUP(CU$2,Assumptions!$C$94:$M$94,Assumptions!$C$96:$M$96)))</f>
        <v>17503.74022</v>
      </c>
      <c r="CV19" s="54">
        <f t="array" ref="CV19">IF(CV$2=1,Assumptions!$X19/12,(SUMIF($D$2:$EE$2,CV$2-1,$D19:$EE19)/12)*(1+XLOOKUP(CV$2,Assumptions!$C$94:$M$94,Assumptions!$C$96:$M$96)))</f>
        <v>18028.85243</v>
      </c>
      <c r="CW19" s="54">
        <f t="array" ref="CW19">IF(CW$2=1,Assumptions!$X19/12,(SUMIF($D$2:$EE$2,CW$2-1,$D19:$EE19)/12)*(1+XLOOKUP(CW$2,Assumptions!$C$94:$M$94,Assumptions!$C$96:$M$96)))</f>
        <v>18028.85243</v>
      </c>
      <c r="CX19" s="54">
        <f t="array" ref="CX19">IF(CX$2=1,Assumptions!$X19/12,(SUMIF($D$2:$EE$2,CX$2-1,$D19:$EE19)/12)*(1+XLOOKUP(CX$2,Assumptions!$C$94:$M$94,Assumptions!$C$96:$M$96)))</f>
        <v>18028.85243</v>
      </c>
      <c r="CY19" s="54">
        <f t="array" ref="CY19">IF(CY$2=1,Assumptions!$X19/12,(SUMIF($D$2:$EE$2,CY$2-1,$D19:$EE19)/12)*(1+XLOOKUP(CY$2,Assumptions!$C$94:$M$94,Assumptions!$C$96:$M$96)))</f>
        <v>18028.85243</v>
      </c>
      <c r="CZ19" s="54">
        <f t="array" ref="CZ19">IF(CZ$2=1,Assumptions!$X19/12,(SUMIF($D$2:$EE$2,CZ$2-1,$D19:$EE19)/12)*(1+XLOOKUP(CZ$2,Assumptions!$C$94:$M$94,Assumptions!$C$96:$M$96)))</f>
        <v>18028.85243</v>
      </c>
      <c r="DA19" s="54">
        <f t="array" ref="DA19">IF(DA$2=1,Assumptions!$X19/12,(SUMIF($D$2:$EE$2,DA$2-1,$D19:$EE19)/12)*(1+XLOOKUP(DA$2,Assumptions!$C$94:$M$94,Assumptions!$C$96:$M$96)))</f>
        <v>18028.85243</v>
      </c>
      <c r="DB19" s="54">
        <f t="array" ref="DB19">IF(DB$2=1,Assumptions!$X19/12,(SUMIF($D$2:$EE$2,DB$2-1,$D19:$EE19)/12)*(1+XLOOKUP(DB$2,Assumptions!$C$94:$M$94,Assumptions!$C$96:$M$96)))</f>
        <v>18028.85243</v>
      </c>
      <c r="DC19" s="54">
        <f t="array" ref="DC19">IF(DC$2=1,Assumptions!$X19/12,(SUMIF($D$2:$EE$2,DC$2-1,$D19:$EE19)/12)*(1+XLOOKUP(DC$2,Assumptions!$C$94:$M$94,Assumptions!$C$96:$M$96)))</f>
        <v>18028.85243</v>
      </c>
      <c r="DD19" s="54">
        <f t="array" ref="DD19">IF(DD$2=1,Assumptions!$X19/12,(SUMIF($D$2:$EE$2,DD$2-1,$D19:$EE19)/12)*(1+XLOOKUP(DD$2,Assumptions!$C$94:$M$94,Assumptions!$C$96:$M$96)))</f>
        <v>18028.85243</v>
      </c>
      <c r="DE19" s="54">
        <f t="array" ref="DE19">IF(DE$2=1,Assumptions!$X19/12,(SUMIF($D$2:$EE$2,DE$2-1,$D19:$EE19)/12)*(1+XLOOKUP(DE$2,Assumptions!$C$94:$M$94,Assumptions!$C$96:$M$96)))</f>
        <v>18028.85243</v>
      </c>
      <c r="DF19" s="54">
        <f t="array" ref="DF19">IF(DF$2=1,Assumptions!$X19/12,(SUMIF($D$2:$EE$2,DF$2-1,$D19:$EE19)/12)*(1+XLOOKUP(DF$2,Assumptions!$C$94:$M$94,Assumptions!$C$96:$M$96)))</f>
        <v>18028.85243</v>
      </c>
      <c r="DG19" s="54">
        <f t="array" ref="DG19">IF(DG$2=1,Assumptions!$X19/12,(SUMIF($D$2:$EE$2,DG$2-1,$D19:$EE19)/12)*(1+XLOOKUP(DG$2,Assumptions!$C$94:$M$94,Assumptions!$C$96:$M$96)))</f>
        <v>18028.85243</v>
      </c>
      <c r="DH19" s="54">
        <f t="array" ref="DH19">IF(DH$2=1,Assumptions!$X19/12,(SUMIF($D$2:$EE$2,DH$2-1,$D19:$EE19)/12)*(1+XLOOKUP(DH$2,Assumptions!$C$94:$M$94,Assumptions!$C$96:$M$96)))</f>
        <v>18569.718</v>
      </c>
      <c r="DI19" s="54">
        <f t="array" ref="DI19">IF(DI$2=1,Assumptions!$X19/12,(SUMIF($D$2:$EE$2,DI$2-1,$D19:$EE19)/12)*(1+XLOOKUP(DI$2,Assumptions!$C$94:$M$94,Assumptions!$C$96:$M$96)))</f>
        <v>18569.718</v>
      </c>
      <c r="DJ19" s="54">
        <f t="array" ref="DJ19">IF(DJ$2=1,Assumptions!$X19/12,(SUMIF($D$2:$EE$2,DJ$2-1,$D19:$EE19)/12)*(1+XLOOKUP(DJ$2,Assumptions!$C$94:$M$94,Assumptions!$C$96:$M$96)))</f>
        <v>18569.718</v>
      </c>
      <c r="DK19" s="54">
        <f t="array" ref="DK19">IF(DK$2=1,Assumptions!$X19/12,(SUMIF($D$2:$EE$2,DK$2-1,$D19:$EE19)/12)*(1+XLOOKUP(DK$2,Assumptions!$C$94:$M$94,Assumptions!$C$96:$M$96)))</f>
        <v>18569.718</v>
      </c>
      <c r="DL19" s="54">
        <f t="array" ref="DL19">IF(DL$2=1,Assumptions!$X19/12,(SUMIF($D$2:$EE$2,DL$2-1,$D19:$EE19)/12)*(1+XLOOKUP(DL$2,Assumptions!$C$94:$M$94,Assumptions!$C$96:$M$96)))</f>
        <v>18569.718</v>
      </c>
      <c r="DM19" s="54">
        <f t="array" ref="DM19">IF(DM$2=1,Assumptions!$X19/12,(SUMIF($D$2:$EE$2,DM$2-1,$D19:$EE19)/12)*(1+XLOOKUP(DM$2,Assumptions!$C$94:$M$94,Assumptions!$C$96:$M$96)))</f>
        <v>18569.718</v>
      </c>
      <c r="DN19" s="54">
        <f t="array" ref="DN19">IF(DN$2=1,Assumptions!$X19/12,(SUMIF($D$2:$EE$2,DN$2-1,$D19:$EE19)/12)*(1+XLOOKUP(DN$2,Assumptions!$C$94:$M$94,Assumptions!$C$96:$M$96)))</f>
        <v>18569.718</v>
      </c>
      <c r="DO19" s="54">
        <f t="array" ref="DO19">IF(DO$2=1,Assumptions!$X19/12,(SUMIF($D$2:$EE$2,DO$2-1,$D19:$EE19)/12)*(1+XLOOKUP(DO$2,Assumptions!$C$94:$M$94,Assumptions!$C$96:$M$96)))</f>
        <v>18569.718</v>
      </c>
      <c r="DP19" s="54">
        <f t="array" ref="DP19">IF(DP$2=1,Assumptions!$X19/12,(SUMIF($D$2:$EE$2,DP$2-1,$D19:$EE19)/12)*(1+XLOOKUP(DP$2,Assumptions!$C$94:$M$94,Assumptions!$C$96:$M$96)))</f>
        <v>18569.718</v>
      </c>
      <c r="DQ19" s="54">
        <f t="array" ref="DQ19">IF(DQ$2=1,Assumptions!$X19/12,(SUMIF($D$2:$EE$2,DQ$2-1,$D19:$EE19)/12)*(1+XLOOKUP(DQ$2,Assumptions!$C$94:$M$94,Assumptions!$C$96:$M$96)))</f>
        <v>18569.718</v>
      </c>
      <c r="DR19" s="54">
        <f t="array" ref="DR19">IF(DR$2=1,Assumptions!$X19/12,(SUMIF($D$2:$EE$2,DR$2-1,$D19:$EE19)/12)*(1+XLOOKUP(DR$2,Assumptions!$C$94:$M$94,Assumptions!$C$96:$M$96)))</f>
        <v>18569.718</v>
      </c>
      <c r="DS19" s="54">
        <f t="array" ref="DS19">IF(DS$2=1,Assumptions!$X19/12,(SUMIF($D$2:$EE$2,DS$2-1,$D19:$EE19)/12)*(1+XLOOKUP(DS$2,Assumptions!$C$94:$M$94,Assumptions!$C$96:$M$96)))</f>
        <v>18569.718</v>
      </c>
      <c r="DT19" s="54">
        <f t="array" ref="DT19">IF(DT$2=1,Assumptions!$X19/12,(SUMIF($D$2:$EE$2,DT$2-1,$D19:$EE19)/12)*(1+XLOOKUP(DT$2,Assumptions!$C$94:$M$94,Assumptions!$C$96:$M$96)))</f>
        <v>19126.80954</v>
      </c>
      <c r="DU19" s="54">
        <f t="array" ref="DU19">IF(DU$2=1,Assumptions!$X19/12,(SUMIF($D$2:$EE$2,DU$2-1,$D19:$EE19)/12)*(1+XLOOKUP(DU$2,Assumptions!$C$94:$M$94,Assumptions!$C$96:$M$96)))</f>
        <v>19126.80954</v>
      </c>
      <c r="DV19" s="54">
        <f t="array" ref="DV19">IF(DV$2=1,Assumptions!$X19/12,(SUMIF($D$2:$EE$2,DV$2-1,$D19:$EE19)/12)*(1+XLOOKUP(DV$2,Assumptions!$C$94:$M$94,Assumptions!$C$96:$M$96)))</f>
        <v>19126.80954</v>
      </c>
      <c r="DW19" s="54">
        <f t="array" ref="DW19">IF(DW$2=1,Assumptions!$X19/12,(SUMIF($D$2:$EE$2,DW$2-1,$D19:$EE19)/12)*(1+XLOOKUP(DW$2,Assumptions!$C$94:$M$94,Assumptions!$C$96:$M$96)))</f>
        <v>19126.80954</v>
      </c>
      <c r="DX19" s="54">
        <f t="array" ref="DX19">IF(DX$2=1,Assumptions!$X19/12,(SUMIF($D$2:$EE$2,DX$2-1,$D19:$EE19)/12)*(1+XLOOKUP(DX$2,Assumptions!$C$94:$M$94,Assumptions!$C$96:$M$96)))</f>
        <v>19126.80954</v>
      </c>
      <c r="DY19" s="54">
        <f t="array" ref="DY19">IF(DY$2=1,Assumptions!$X19/12,(SUMIF($D$2:$EE$2,DY$2-1,$D19:$EE19)/12)*(1+XLOOKUP(DY$2,Assumptions!$C$94:$M$94,Assumptions!$C$96:$M$96)))</f>
        <v>19126.80954</v>
      </c>
      <c r="DZ19" s="54">
        <f t="array" ref="DZ19">IF(DZ$2=1,Assumptions!$X19/12,(SUMIF($D$2:$EE$2,DZ$2-1,$D19:$EE19)/12)*(1+XLOOKUP(DZ$2,Assumptions!$C$94:$M$94,Assumptions!$C$96:$M$96)))</f>
        <v>19126.80954</v>
      </c>
      <c r="EA19" s="54">
        <f t="array" ref="EA19">IF(EA$2=1,Assumptions!$X19/12,(SUMIF($D$2:$EE$2,EA$2-1,$D19:$EE19)/12)*(1+XLOOKUP(EA$2,Assumptions!$C$94:$M$94,Assumptions!$C$96:$M$96)))</f>
        <v>19126.80954</v>
      </c>
      <c r="EB19" s="54">
        <f t="array" ref="EB19">IF(EB$2=1,Assumptions!$X19/12,(SUMIF($D$2:$EE$2,EB$2-1,$D19:$EE19)/12)*(1+XLOOKUP(EB$2,Assumptions!$C$94:$M$94,Assumptions!$C$96:$M$96)))</f>
        <v>19126.80954</v>
      </c>
      <c r="EC19" s="54">
        <f t="array" ref="EC19">IF(EC$2=1,Assumptions!$X19/12,(SUMIF($D$2:$EE$2,EC$2-1,$D19:$EE19)/12)*(1+XLOOKUP(EC$2,Assumptions!$C$94:$M$94,Assumptions!$C$96:$M$96)))</f>
        <v>19126.80954</v>
      </c>
      <c r="ED19" s="54">
        <f t="array" ref="ED19">IF(ED$2=1,Assumptions!$X19/12,(SUMIF($D$2:$EE$2,ED$2-1,$D19:$EE19)/12)*(1+XLOOKUP(ED$2,Assumptions!$C$94:$M$94,Assumptions!$C$96:$M$96)))</f>
        <v>19126.80954</v>
      </c>
      <c r="EE19" s="54">
        <f t="array" ref="EE19">IF(EE$2=1,Assumptions!$X19/12,(SUMIF($D$2:$EE$2,EE$2-1,$D19:$EE19)/12)*(1+XLOOKUP(EE$2,Assumptions!$C$94:$M$94,Assumptions!$C$96:$M$96)))</f>
        <v>19126.80954</v>
      </c>
    </row>
    <row r="20" ht="15.75" customHeight="1">
      <c r="A20" s="1"/>
      <c r="B20" s="1"/>
      <c r="C20" s="1" t="str">
        <f>Assumptions!J20</f>
        <v>Utility Reimburshment (w/o Electricity)</v>
      </c>
      <c r="D20" s="54">
        <f>-D$27*(1+Assumptions!$U$21)*IF(D2&lt;Assumptions!$V$21,0,1)</f>
        <v>0</v>
      </c>
      <c r="E20" s="54">
        <f>-E$27*(1+Assumptions!$U$21)*IF(E2&lt;Assumptions!$V$21,0,1)</f>
        <v>0</v>
      </c>
      <c r="F20" s="54">
        <f>-F$27*(1+Assumptions!$U$21)*IF(F2&lt;Assumptions!$V$21,0,1)</f>
        <v>0</v>
      </c>
      <c r="G20" s="54">
        <f>-G$27*(1+Assumptions!$U$21)*IF(G2&lt;Assumptions!$V$21,0,1)</f>
        <v>0</v>
      </c>
      <c r="H20" s="54">
        <f>-H$27*(1+Assumptions!$U$21)*IF(H2&lt;Assumptions!$V$21,0,1)</f>
        <v>0</v>
      </c>
      <c r="I20" s="54">
        <f>-I$27*(1+Assumptions!$U$21)*IF(I2&lt;Assumptions!$V$21,0,1)</f>
        <v>0</v>
      </c>
      <c r="J20" s="54">
        <f>-J$27*(1+Assumptions!$U$21)*IF(J2&lt;Assumptions!$V$21,0,1)</f>
        <v>0</v>
      </c>
      <c r="K20" s="54">
        <f>-K$27*(1+Assumptions!$U$21)*IF(K2&lt;Assumptions!$V$21,0,1)</f>
        <v>0</v>
      </c>
      <c r="L20" s="54">
        <f>-L$27*(1+Assumptions!$U$21)*IF(L2&lt;Assumptions!$V$21,0,1)</f>
        <v>0</v>
      </c>
      <c r="M20" s="54">
        <f>-M$27*(1+Assumptions!$U$21)*IF(M2&lt;Assumptions!$V$21,0,1)</f>
        <v>0</v>
      </c>
      <c r="N20" s="54">
        <f>-N$27*(1+Assumptions!$U$21)*IF(N2&lt;Assumptions!$V$21,0,1)</f>
        <v>0</v>
      </c>
      <c r="O20" s="54">
        <f>-O$27*(1+Assumptions!$U$21)*IF(O2&lt;Assumptions!$V$21,0,1)</f>
        <v>0</v>
      </c>
      <c r="P20" s="54">
        <f>-P$27*(1+Assumptions!$U$21)*IF(P2&lt;Assumptions!$V$21,0,1)</f>
        <v>4904.115942</v>
      </c>
      <c r="Q20" s="54">
        <f>-Q$27*(1+Assumptions!$U$21)*IF(Q2&lt;Assumptions!$V$21,0,1)</f>
        <v>4904.115942</v>
      </c>
      <c r="R20" s="54">
        <f>-R$27*(1+Assumptions!$U$21)*IF(R2&lt;Assumptions!$V$21,0,1)</f>
        <v>4904.115942</v>
      </c>
      <c r="S20" s="54">
        <f>-S$27*(1+Assumptions!$U$21)*IF(S2&lt;Assumptions!$V$21,0,1)</f>
        <v>4904.115942</v>
      </c>
      <c r="T20" s="54">
        <f>-T$27*(1+Assumptions!$U$21)*IF(T2&lt;Assumptions!$V$21,0,1)</f>
        <v>4904.115942</v>
      </c>
      <c r="U20" s="54">
        <f>-U$27*(1+Assumptions!$U$21)*IF(U2&lt;Assumptions!$V$21,0,1)</f>
        <v>4904.115942</v>
      </c>
      <c r="V20" s="54">
        <f>-V$27*(1+Assumptions!$U$21)*IF(V2&lt;Assumptions!$V$21,0,1)</f>
        <v>4904.115942</v>
      </c>
      <c r="W20" s="54">
        <f>-W$27*(1+Assumptions!$U$21)*IF(W2&lt;Assumptions!$V$21,0,1)</f>
        <v>4904.115942</v>
      </c>
      <c r="X20" s="54">
        <f>-X$27*(1+Assumptions!$U$21)*IF(X2&lt;Assumptions!$V$21,0,1)</f>
        <v>4904.115942</v>
      </c>
      <c r="Y20" s="54">
        <f>-Y$27*(1+Assumptions!$U$21)*IF(Y2&lt;Assumptions!$V$21,0,1)</f>
        <v>4904.115942</v>
      </c>
      <c r="Z20" s="54">
        <f>-Z$27*(1+Assumptions!$U$21)*IF(Z2&lt;Assumptions!$V$21,0,1)</f>
        <v>4904.115942</v>
      </c>
      <c r="AA20" s="54">
        <f>-AA$27*(1+Assumptions!$U$21)*IF(AA2&lt;Assumptions!$V$21,0,1)</f>
        <v>4904.115942</v>
      </c>
      <c r="AB20" s="54">
        <f>-AB$27*(1+Assumptions!$U$21)*IF(AB2&lt;Assumptions!$V$21,0,1)</f>
        <v>5051.23942</v>
      </c>
      <c r="AC20" s="54">
        <f>-AC$27*(1+Assumptions!$U$21)*IF(AC2&lt;Assumptions!$V$21,0,1)</f>
        <v>5051.23942</v>
      </c>
      <c r="AD20" s="54">
        <f>-AD$27*(1+Assumptions!$U$21)*IF(AD2&lt;Assumptions!$V$21,0,1)</f>
        <v>5051.23942</v>
      </c>
      <c r="AE20" s="54">
        <f>-AE$27*(1+Assumptions!$U$21)*IF(AE2&lt;Assumptions!$V$21,0,1)</f>
        <v>5051.23942</v>
      </c>
      <c r="AF20" s="54">
        <f>-AF$27*(1+Assumptions!$U$21)*IF(AF2&lt;Assumptions!$V$21,0,1)</f>
        <v>5051.23942</v>
      </c>
      <c r="AG20" s="54">
        <f>-AG$27*(1+Assumptions!$U$21)*IF(AG2&lt;Assumptions!$V$21,0,1)</f>
        <v>5051.23942</v>
      </c>
      <c r="AH20" s="54">
        <f>-AH$27*(1+Assumptions!$U$21)*IF(AH2&lt;Assumptions!$V$21,0,1)</f>
        <v>5051.23942</v>
      </c>
      <c r="AI20" s="54">
        <f>-AI$27*(1+Assumptions!$U$21)*IF(AI2&lt;Assumptions!$V$21,0,1)</f>
        <v>5051.23942</v>
      </c>
      <c r="AJ20" s="54">
        <f>-AJ$27*(1+Assumptions!$U$21)*IF(AJ2&lt;Assumptions!$V$21,0,1)</f>
        <v>5051.23942</v>
      </c>
      <c r="AK20" s="54">
        <f>-AK$27*(1+Assumptions!$U$21)*IF(AK2&lt;Assumptions!$V$21,0,1)</f>
        <v>5051.23942</v>
      </c>
      <c r="AL20" s="54">
        <f>-AL$27*(1+Assumptions!$U$21)*IF(AL2&lt;Assumptions!$V$21,0,1)</f>
        <v>5051.23942</v>
      </c>
      <c r="AM20" s="54">
        <f>-AM$27*(1+Assumptions!$U$21)*IF(AM2&lt;Assumptions!$V$21,0,1)</f>
        <v>5051.23942</v>
      </c>
      <c r="AN20" s="54">
        <f>-AN$27*(1+Assumptions!$U$21)*IF(AN2&lt;Assumptions!$V$21,0,1)</f>
        <v>5202.776603</v>
      </c>
      <c r="AO20" s="54">
        <f>-AO$27*(1+Assumptions!$U$21)*IF(AO2&lt;Assumptions!$V$21,0,1)</f>
        <v>5202.776603</v>
      </c>
      <c r="AP20" s="54">
        <f>-AP$27*(1+Assumptions!$U$21)*IF(AP2&lt;Assumptions!$V$21,0,1)</f>
        <v>5202.776603</v>
      </c>
      <c r="AQ20" s="54">
        <f>-AQ$27*(1+Assumptions!$U$21)*IF(AQ2&lt;Assumptions!$V$21,0,1)</f>
        <v>5202.776603</v>
      </c>
      <c r="AR20" s="54">
        <f>-AR$27*(1+Assumptions!$U$21)*IF(AR2&lt;Assumptions!$V$21,0,1)</f>
        <v>5202.776603</v>
      </c>
      <c r="AS20" s="54">
        <f>-AS$27*(1+Assumptions!$U$21)*IF(AS2&lt;Assumptions!$V$21,0,1)</f>
        <v>5202.776603</v>
      </c>
      <c r="AT20" s="54">
        <f>-AT$27*(1+Assumptions!$U$21)*IF(AT2&lt;Assumptions!$V$21,0,1)</f>
        <v>5202.776603</v>
      </c>
      <c r="AU20" s="54">
        <f>-AU$27*(1+Assumptions!$U$21)*IF(AU2&lt;Assumptions!$V$21,0,1)</f>
        <v>5202.776603</v>
      </c>
      <c r="AV20" s="54">
        <f>-AV$27*(1+Assumptions!$U$21)*IF(AV2&lt;Assumptions!$V$21,0,1)</f>
        <v>5202.776603</v>
      </c>
      <c r="AW20" s="54">
        <f>-AW$27*(1+Assumptions!$U$21)*IF(AW2&lt;Assumptions!$V$21,0,1)</f>
        <v>5202.776603</v>
      </c>
      <c r="AX20" s="54">
        <f>-AX$27*(1+Assumptions!$U$21)*IF(AX2&lt;Assumptions!$V$21,0,1)</f>
        <v>5202.776603</v>
      </c>
      <c r="AY20" s="54">
        <f>-AY$27*(1+Assumptions!$U$21)*IF(AY2&lt;Assumptions!$V$21,0,1)</f>
        <v>5202.776603</v>
      </c>
      <c r="AZ20" s="54">
        <f>-AZ$27*(1+Assumptions!$U$21)*IF(AZ2&lt;Assumptions!$V$21,0,1)</f>
        <v>5358.859901</v>
      </c>
      <c r="BA20" s="54">
        <f>-BA$27*(1+Assumptions!$U$21)*IF(BA2&lt;Assumptions!$V$21,0,1)</f>
        <v>5358.859901</v>
      </c>
      <c r="BB20" s="54">
        <f>-BB$27*(1+Assumptions!$U$21)*IF(BB2&lt;Assumptions!$V$21,0,1)</f>
        <v>5358.859901</v>
      </c>
      <c r="BC20" s="54">
        <f>-BC$27*(1+Assumptions!$U$21)*IF(BC2&lt;Assumptions!$V$21,0,1)</f>
        <v>5358.859901</v>
      </c>
      <c r="BD20" s="54">
        <f>-BD$27*(1+Assumptions!$U$21)*IF(BD2&lt;Assumptions!$V$21,0,1)</f>
        <v>5358.859901</v>
      </c>
      <c r="BE20" s="54">
        <f>-BE$27*(1+Assumptions!$U$21)*IF(BE2&lt;Assumptions!$V$21,0,1)</f>
        <v>5358.859901</v>
      </c>
      <c r="BF20" s="54">
        <f>-BF$27*(1+Assumptions!$U$21)*IF(BF2&lt;Assumptions!$V$21,0,1)</f>
        <v>5358.859901</v>
      </c>
      <c r="BG20" s="54">
        <f>-BG$27*(1+Assumptions!$U$21)*IF(BG2&lt;Assumptions!$V$21,0,1)</f>
        <v>5358.859901</v>
      </c>
      <c r="BH20" s="54">
        <f>-BH$27*(1+Assumptions!$U$21)*IF(BH2&lt;Assumptions!$V$21,0,1)</f>
        <v>5358.859901</v>
      </c>
      <c r="BI20" s="54">
        <f>-BI$27*(1+Assumptions!$U$21)*IF(BI2&lt;Assumptions!$V$21,0,1)</f>
        <v>5358.859901</v>
      </c>
      <c r="BJ20" s="54">
        <f>-BJ$27*(1+Assumptions!$U$21)*IF(BJ2&lt;Assumptions!$V$21,0,1)</f>
        <v>5358.859901</v>
      </c>
      <c r="BK20" s="54">
        <f>-BK$27*(1+Assumptions!$U$21)*IF(BK2&lt;Assumptions!$V$21,0,1)</f>
        <v>5358.859901</v>
      </c>
      <c r="BL20" s="54">
        <f>-BL$27*(1+Assumptions!$U$21)*IF(BL2&lt;Assumptions!$V$21,0,1)</f>
        <v>5519.625698</v>
      </c>
      <c r="BM20" s="54">
        <f>-BM$27*(1+Assumptions!$U$21)*IF(BM2&lt;Assumptions!$V$21,0,1)</f>
        <v>5519.625698</v>
      </c>
      <c r="BN20" s="54">
        <f>-BN$27*(1+Assumptions!$U$21)*IF(BN2&lt;Assumptions!$V$21,0,1)</f>
        <v>5519.625698</v>
      </c>
      <c r="BO20" s="54">
        <f>-BO$27*(1+Assumptions!$U$21)*IF(BO2&lt;Assumptions!$V$21,0,1)</f>
        <v>5519.625698</v>
      </c>
      <c r="BP20" s="54">
        <f>-BP$27*(1+Assumptions!$U$21)*IF(BP2&lt;Assumptions!$V$21,0,1)</f>
        <v>5519.625698</v>
      </c>
      <c r="BQ20" s="54">
        <f>-BQ$27*(1+Assumptions!$U$21)*IF(BQ2&lt;Assumptions!$V$21,0,1)</f>
        <v>5519.625698</v>
      </c>
      <c r="BR20" s="54">
        <f>-BR$27*(1+Assumptions!$U$21)*IF(BR2&lt;Assumptions!$V$21,0,1)</f>
        <v>5519.625698</v>
      </c>
      <c r="BS20" s="54">
        <f>-BS$27*(1+Assumptions!$U$21)*IF(BS2&lt;Assumptions!$V$21,0,1)</f>
        <v>5519.625698</v>
      </c>
      <c r="BT20" s="54">
        <f>-BT$27*(1+Assumptions!$U$21)*IF(BT2&lt;Assumptions!$V$21,0,1)</f>
        <v>5519.625698</v>
      </c>
      <c r="BU20" s="54">
        <f>-BU$27*(1+Assumptions!$U$21)*IF(BU2&lt;Assumptions!$V$21,0,1)</f>
        <v>5519.625698</v>
      </c>
      <c r="BV20" s="54">
        <f>-BV$27*(1+Assumptions!$U$21)*IF(BV2&lt;Assumptions!$V$21,0,1)</f>
        <v>5519.625698</v>
      </c>
      <c r="BW20" s="54">
        <f>-BW$27*(1+Assumptions!$U$21)*IF(BW2&lt;Assumptions!$V$21,0,1)</f>
        <v>5519.625698</v>
      </c>
      <c r="BX20" s="54">
        <f>-BX$27*(1+Assumptions!$U$21)*IF(BX2&lt;Assumptions!$V$21,0,1)</f>
        <v>5685.214469</v>
      </c>
      <c r="BY20" s="54">
        <f>-BY$27*(1+Assumptions!$U$21)*IF(BY2&lt;Assumptions!$V$21,0,1)</f>
        <v>5685.214469</v>
      </c>
      <c r="BZ20" s="54">
        <f>-BZ$27*(1+Assumptions!$U$21)*IF(BZ2&lt;Assumptions!$V$21,0,1)</f>
        <v>5685.214469</v>
      </c>
      <c r="CA20" s="54">
        <f>-CA$27*(1+Assumptions!$U$21)*IF(CA2&lt;Assumptions!$V$21,0,1)</f>
        <v>5685.214469</v>
      </c>
      <c r="CB20" s="54">
        <f>-CB$27*(1+Assumptions!$U$21)*IF(CB2&lt;Assumptions!$V$21,0,1)</f>
        <v>5685.214469</v>
      </c>
      <c r="CC20" s="54">
        <f>-CC$27*(1+Assumptions!$U$21)*IF(CC2&lt;Assumptions!$V$21,0,1)</f>
        <v>5685.214469</v>
      </c>
      <c r="CD20" s="54">
        <f>-CD$27*(1+Assumptions!$U$21)*IF(CD2&lt;Assumptions!$V$21,0,1)</f>
        <v>5685.214469</v>
      </c>
      <c r="CE20" s="54">
        <f>-CE$27*(1+Assumptions!$U$21)*IF(CE2&lt;Assumptions!$V$21,0,1)</f>
        <v>5685.214469</v>
      </c>
      <c r="CF20" s="54">
        <f>-CF$27*(1+Assumptions!$U$21)*IF(CF2&lt;Assumptions!$V$21,0,1)</f>
        <v>5685.214469</v>
      </c>
      <c r="CG20" s="54">
        <f>-CG$27*(1+Assumptions!$U$21)*IF(CG2&lt;Assumptions!$V$21,0,1)</f>
        <v>5685.214469</v>
      </c>
      <c r="CH20" s="54">
        <f>-CH$27*(1+Assumptions!$U$21)*IF(CH2&lt;Assumptions!$V$21,0,1)</f>
        <v>5685.214469</v>
      </c>
      <c r="CI20" s="54">
        <f>-CI$27*(1+Assumptions!$U$21)*IF(CI2&lt;Assumptions!$V$21,0,1)</f>
        <v>5685.214469</v>
      </c>
      <c r="CJ20" s="54">
        <f>-CJ$27*(1+Assumptions!$U$21)*IF(CJ2&lt;Assumptions!$V$21,0,1)</f>
        <v>5855.770903</v>
      </c>
      <c r="CK20" s="54">
        <f>-CK$27*(1+Assumptions!$U$21)*IF(CK2&lt;Assumptions!$V$21,0,1)</f>
        <v>5855.770903</v>
      </c>
      <c r="CL20" s="54">
        <f>-CL$27*(1+Assumptions!$U$21)*IF(CL2&lt;Assumptions!$V$21,0,1)</f>
        <v>5855.770903</v>
      </c>
      <c r="CM20" s="54">
        <f>-CM$27*(1+Assumptions!$U$21)*IF(CM2&lt;Assumptions!$V$21,0,1)</f>
        <v>5855.770903</v>
      </c>
      <c r="CN20" s="54">
        <f>-CN$27*(1+Assumptions!$U$21)*IF(CN2&lt;Assumptions!$V$21,0,1)</f>
        <v>5855.770903</v>
      </c>
      <c r="CO20" s="54">
        <f>-CO$27*(1+Assumptions!$U$21)*IF(CO2&lt;Assumptions!$V$21,0,1)</f>
        <v>5855.770903</v>
      </c>
      <c r="CP20" s="54">
        <f>-CP$27*(1+Assumptions!$U$21)*IF(CP2&lt;Assumptions!$V$21,0,1)</f>
        <v>5855.770903</v>
      </c>
      <c r="CQ20" s="54">
        <f>-CQ$27*(1+Assumptions!$U$21)*IF(CQ2&lt;Assumptions!$V$21,0,1)</f>
        <v>5855.770903</v>
      </c>
      <c r="CR20" s="54">
        <f>-CR$27*(1+Assumptions!$U$21)*IF(CR2&lt;Assumptions!$V$21,0,1)</f>
        <v>5855.770903</v>
      </c>
      <c r="CS20" s="54">
        <f>-CS$27*(1+Assumptions!$U$21)*IF(CS2&lt;Assumptions!$V$21,0,1)</f>
        <v>5855.770903</v>
      </c>
      <c r="CT20" s="54">
        <f>-CT$27*(1+Assumptions!$U$21)*IF(CT2&lt;Assumptions!$V$21,0,1)</f>
        <v>5855.770903</v>
      </c>
      <c r="CU20" s="54">
        <f>-CU$27*(1+Assumptions!$U$21)*IF(CU2&lt;Assumptions!$V$21,0,1)</f>
        <v>5855.770903</v>
      </c>
      <c r="CV20" s="54">
        <f>-CV$27*(1+Assumptions!$U$21)*IF(CV2&lt;Assumptions!$V$21,0,1)</f>
        <v>6031.44403</v>
      </c>
      <c r="CW20" s="54">
        <f>-CW$27*(1+Assumptions!$U$21)*IF(CW2&lt;Assumptions!$V$21,0,1)</f>
        <v>6031.44403</v>
      </c>
      <c r="CX20" s="54">
        <f>-CX$27*(1+Assumptions!$U$21)*IF(CX2&lt;Assumptions!$V$21,0,1)</f>
        <v>6031.44403</v>
      </c>
      <c r="CY20" s="54">
        <f>-CY$27*(1+Assumptions!$U$21)*IF(CY2&lt;Assumptions!$V$21,0,1)</f>
        <v>6031.44403</v>
      </c>
      <c r="CZ20" s="54">
        <f>-CZ$27*(1+Assumptions!$U$21)*IF(CZ2&lt;Assumptions!$V$21,0,1)</f>
        <v>6031.44403</v>
      </c>
      <c r="DA20" s="54">
        <f>-DA$27*(1+Assumptions!$U$21)*IF(DA2&lt;Assumptions!$V$21,0,1)</f>
        <v>6031.44403</v>
      </c>
      <c r="DB20" s="54">
        <f>-DB$27*(1+Assumptions!$U$21)*IF(DB2&lt;Assumptions!$V$21,0,1)</f>
        <v>6031.44403</v>
      </c>
      <c r="DC20" s="54">
        <f>-DC$27*(1+Assumptions!$U$21)*IF(DC2&lt;Assumptions!$V$21,0,1)</f>
        <v>6031.44403</v>
      </c>
      <c r="DD20" s="54">
        <f>-DD$27*(1+Assumptions!$U$21)*IF(DD2&lt;Assumptions!$V$21,0,1)</f>
        <v>6031.44403</v>
      </c>
      <c r="DE20" s="54">
        <f>-DE$27*(1+Assumptions!$U$21)*IF(DE2&lt;Assumptions!$V$21,0,1)</f>
        <v>6031.44403</v>
      </c>
      <c r="DF20" s="54">
        <f>-DF$27*(1+Assumptions!$U$21)*IF(DF2&lt;Assumptions!$V$21,0,1)</f>
        <v>6031.44403</v>
      </c>
      <c r="DG20" s="54">
        <f>-DG$27*(1+Assumptions!$U$21)*IF(DG2&lt;Assumptions!$V$21,0,1)</f>
        <v>6031.44403</v>
      </c>
      <c r="DH20" s="54">
        <f>-DH$27*(1+Assumptions!$U$21)*IF(DH2&lt;Assumptions!$V$21,0,1)</f>
        <v>6212.387351</v>
      </c>
      <c r="DI20" s="54">
        <f>-DI$27*(1+Assumptions!$U$21)*IF(DI2&lt;Assumptions!$V$21,0,1)</f>
        <v>6212.387351</v>
      </c>
      <c r="DJ20" s="54">
        <f>-DJ$27*(1+Assumptions!$U$21)*IF(DJ2&lt;Assumptions!$V$21,0,1)</f>
        <v>6212.387351</v>
      </c>
      <c r="DK20" s="54">
        <f>-DK$27*(1+Assumptions!$U$21)*IF(DK2&lt;Assumptions!$V$21,0,1)</f>
        <v>6212.387351</v>
      </c>
      <c r="DL20" s="54">
        <f>-DL$27*(1+Assumptions!$U$21)*IF(DL2&lt;Assumptions!$V$21,0,1)</f>
        <v>6212.387351</v>
      </c>
      <c r="DM20" s="54">
        <f>-DM$27*(1+Assumptions!$U$21)*IF(DM2&lt;Assumptions!$V$21,0,1)</f>
        <v>6212.387351</v>
      </c>
      <c r="DN20" s="54">
        <f>-DN$27*(1+Assumptions!$U$21)*IF(DN2&lt;Assumptions!$V$21,0,1)</f>
        <v>6212.387351</v>
      </c>
      <c r="DO20" s="54">
        <f>-DO$27*(1+Assumptions!$U$21)*IF(DO2&lt;Assumptions!$V$21,0,1)</f>
        <v>6212.387351</v>
      </c>
      <c r="DP20" s="54">
        <f>-DP$27*(1+Assumptions!$U$21)*IF(DP2&lt;Assumptions!$V$21,0,1)</f>
        <v>6212.387351</v>
      </c>
      <c r="DQ20" s="54">
        <f>-DQ$27*(1+Assumptions!$U$21)*IF(DQ2&lt;Assumptions!$V$21,0,1)</f>
        <v>6212.387351</v>
      </c>
      <c r="DR20" s="54">
        <f>-DR$27*(1+Assumptions!$U$21)*IF(DR2&lt;Assumptions!$V$21,0,1)</f>
        <v>6212.387351</v>
      </c>
      <c r="DS20" s="54">
        <f>-DS$27*(1+Assumptions!$U$21)*IF(DS2&lt;Assumptions!$V$21,0,1)</f>
        <v>6212.387351</v>
      </c>
      <c r="DT20" s="54">
        <f>-DT$27*(1+Assumptions!$U$21)*IF(DT2&lt;Assumptions!$V$21,0,1)</f>
        <v>6398.758972</v>
      </c>
      <c r="DU20" s="54">
        <f>-DU$27*(1+Assumptions!$U$21)*IF(DU2&lt;Assumptions!$V$21,0,1)</f>
        <v>6398.758972</v>
      </c>
      <c r="DV20" s="54">
        <f>-DV$27*(1+Assumptions!$U$21)*IF(DV2&lt;Assumptions!$V$21,0,1)</f>
        <v>6398.758972</v>
      </c>
      <c r="DW20" s="54">
        <f>-DW$27*(1+Assumptions!$U$21)*IF(DW2&lt;Assumptions!$V$21,0,1)</f>
        <v>6398.758972</v>
      </c>
      <c r="DX20" s="54">
        <f>-DX$27*(1+Assumptions!$U$21)*IF(DX2&lt;Assumptions!$V$21,0,1)</f>
        <v>6398.758972</v>
      </c>
      <c r="DY20" s="54">
        <f>-DY$27*(1+Assumptions!$U$21)*IF(DY2&lt;Assumptions!$V$21,0,1)</f>
        <v>6398.758972</v>
      </c>
      <c r="DZ20" s="54">
        <f>-DZ$27*(1+Assumptions!$U$21)*IF(DZ2&lt;Assumptions!$V$21,0,1)</f>
        <v>6398.758972</v>
      </c>
      <c r="EA20" s="54">
        <f>-EA$27*(1+Assumptions!$U$21)*IF(EA2&lt;Assumptions!$V$21,0,1)</f>
        <v>6398.758972</v>
      </c>
      <c r="EB20" s="54">
        <f>-EB$27*(1+Assumptions!$U$21)*IF(EB2&lt;Assumptions!$V$21,0,1)</f>
        <v>6398.758972</v>
      </c>
      <c r="EC20" s="54">
        <f>-EC$27*(1+Assumptions!$U$21)*IF(EC2&lt;Assumptions!$V$21,0,1)</f>
        <v>6398.758972</v>
      </c>
      <c r="ED20" s="54">
        <f>-ED$27*(1+Assumptions!$U$21)*IF(ED2&lt;Assumptions!$V$21,0,1)</f>
        <v>6398.758972</v>
      </c>
      <c r="EE20" s="54">
        <f>-EE$27*(1+Assumptions!$U$21)*IF(EE2&lt;Assumptions!$V$21,0,1)</f>
        <v>6398.758972</v>
      </c>
    </row>
    <row r="21" ht="15.75" customHeight="1">
      <c r="A21" s="1"/>
      <c r="B21" s="47" t="s">
        <v>68</v>
      </c>
      <c r="C21" s="47"/>
      <c r="D21" s="213">
        <f t="shared" ref="D21:EE21" si="5">SUM(D18:D20)</f>
        <v>116412.8682</v>
      </c>
      <c r="E21" s="213">
        <f t="shared" si="5"/>
        <v>116412.8682</v>
      </c>
      <c r="F21" s="213">
        <f t="shared" si="5"/>
        <v>116412.8682</v>
      </c>
      <c r="G21" s="213">
        <f t="shared" si="5"/>
        <v>116412.8682</v>
      </c>
      <c r="H21" s="213">
        <f t="shared" si="5"/>
        <v>116412.8682</v>
      </c>
      <c r="I21" s="213">
        <f t="shared" si="5"/>
        <v>116412.8682</v>
      </c>
      <c r="J21" s="213">
        <f t="shared" si="5"/>
        <v>116412.8682</v>
      </c>
      <c r="K21" s="213">
        <f t="shared" si="5"/>
        <v>116412.8682</v>
      </c>
      <c r="L21" s="213">
        <f t="shared" si="5"/>
        <v>116412.8682</v>
      </c>
      <c r="M21" s="213">
        <f t="shared" si="5"/>
        <v>116412.8682</v>
      </c>
      <c r="N21" s="213">
        <f t="shared" si="5"/>
        <v>116412.8682</v>
      </c>
      <c r="O21" s="213">
        <f t="shared" si="5"/>
        <v>116412.8682</v>
      </c>
      <c r="P21" s="213">
        <f t="shared" si="5"/>
        <v>128204.4072</v>
      </c>
      <c r="Q21" s="213">
        <f t="shared" si="5"/>
        <v>128204.4072</v>
      </c>
      <c r="R21" s="213">
        <f t="shared" si="5"/>
        <v>128204.4072</v>
      </c>
      <c r="S21" s="213">
        <f t="shared" si="5"/>
        <v>128204.4072</v>
      </c>
      <c r="T21" s="213">
        <f t="shared" si="5"/>
        <v>128204.4072</v>
      </c>
      <c r="U21" s="213">
        <f t="shared" si="5"/>
        <v>128204.4072</v>
      </c>
      <c r="V21" s="213">
        <f t="shared" si="5"/>
        <v>128204.4072</v>
      </c>
      <c r="W21" s="213">
        <f t="shared" si="5"/>
        <v>128204.4072</v>
      </c>
      <c r="X21" s="213">
        <f t="shared" si="5"/>
        <v>128204.4072</v>
      </c>
      <c r="Y21" s="213">
        <f t="shared" si="5"/>
        <v>128204.4072</v>
      </c>
      <c r="Z21" s="213">
        <f t="shared" si="5"/>
        <v>128204.4072</v>
      </c>
      <c r="AA21" s="213">
        <f t="shared" si="5"/>
        <v>128204.4072</v>
      </c>
      <c r="AB21" s="213">
        <f t="shared" si="5"/>
        <v>132050.5395</v>
      </c>
      <c r="AC21" s="213">
        <f t="shared" si="5"/>
        <v>132050.5395</v>
      </c>
      <c r="AD21" s="213">
        <f t="shared" si="5"/>
        <v>132050.5395</v>
      </c>
      <c r="AE21" s="213">
        <f t="shared" si="5"/>
        <v>132050.5395</v>
      </c>
      <c r="AF21" s="213">
        <f t="shared" si="5"/>
        <v>132050.5395</v>
      </c>
      <c r="AG21" s="213">
        <f t="shared" si="5"/>
        <v>132050.5395</v>
      </c>
      <c r="AH21" s="213">
        <f t="shared" si="5"/>
        <v>132050.5395</v>
      </c>
      <c r="AI21" s="213">
        <f t="shared" si="5"/>
        <v>132050.5395</v>
      </c>
      <c r="AJ21" s="213">
        <f t="shared" si="5"/>
        <v>132050.5395</v>
      </c>
      <c r="AK21" s="213">
        <f t="shared" si="5"/>
        <v>132050.5395</v>
      </c>
      <c r="AL21" s="213">
        <f t="shared" si="5"/>
        <v>132050.5395</v>
      </c>
      <c r="AM21" s="213">
        <f t="shared" si="5"/>
        <v>132050.5395</v>
      </c>
      <c r="AN21" s="213">
        <f t="shared" si="5"/>
        <v>136012.0556</v>
      </c>
      <c r="AO21" s="213">
        <f t="shared" si="5"/>
        <v>136012.0556</v>
      </c>
      <c r="AP21" s="213">
        <f t="shared" si="5"/>
        <v>136012.0556</v>
      </c>
      <c r="AQ21" s="213">
        <f t="shared" si="5"/>
        <v>136012.0556</v>
      </c>
      <c r="AR21" s="213">
        <f t="shared" si="5"/>
        <v>136012.0556</v>
      </c>
      <c r="AS21" s="213">
        <f t="shared" si="5"/>
        <v>136012.0556</v>
      </c>
      <c r="AT21" s="213">
        <f t="shared" si="5"/>
        <v>136012.0556</v>
      </c>
      <c r="AU21" s="213">
        <f t="shared" si="5"/>
        <v>136012.0556</v>
      </c>
      <c r="AV21" s="213">
        <f t="shared" si="5"/>
        <v>136012.0556</v>
      </c>
      <c r="AW21" s="213">
        <f t="shared" si="5"/>
        <v>136012.0556</v>
      </c>
      <c r="AX21" s="213">
        <f t="shared" si="5"/>
        <v>136012.0556</v>
      </c>
      <c r="AY21" s="213">
        <f t="shared" si="5"/>
        <v>136012.0556</v>
      </c>
      <c r="AZ21" s="213">
        <f t="shared" si="5"/>
        <v>140092.4173</v>
      </c>
      <c r="BA21" s="213">
        <f t="shared" si="5"/>
        <v>140092.4173</v>
      </c>
      <c r="BB21" s="213">
        <f t="shared" si="5"/>
        <v>140092.4173</v>
      </c>
      <c r="BC21" s="213">
        <f t="shared" si="5"/>
        <v>140092.4173</v>
      </c>
      <c r="BD21" s="213">
        <f t="shared" si="5"/>
        <v>140092.4173</v>
      </c>
      <c r="BE21" s="213">
        <f t="shared" si="5"/>
        <v>140092.4173</v>
      </c>
      <c r="BF21" s="213">
        <f t="shared" si="5"/>
        <v>140092.4173</v>
      </c>
      <c r="BG21" s="213">
        <f t="shared" si="5"/>
        <v>140092.4173</v>
      </c>
      <c r="BH21" s="213">
        <f t="shared" si="5"/>
        <v>140092.4173</v>
      </c>
      <c r="BI21" s="213">
        <f t="shared" si="5"/>
        <v>140092.4173</v>
      </c>
      <c r="BJ21" s="213">
        <f t="shared" si="5"/>
        <v>140092.4173</v>
      </c>
      <c r="BK21" s="213">
        <f t="shared" si="5"/>
        <v>140092.4173</v>
      </c>
      <c r="BL21" s="213">
        <f t="shared" si="5"/>
        <v>144295.1898</v>
      </c>
      <c r="BM21" s="213">
        <f t="shared" si="5"/>
        <v>144295.1898</v>
      </c>
      <c r="BN21" s="213">
        <f t="shared" si="5"/>
        <v>144295.1898</v>
      </c>
      <c r="BO21" s="213">
        <f t="shared" si="5"/>
        <v>144295.1898</v>
      </c>
      <c r="BP21" s="213">
        <f t="shared" si="5"/>
        <v>144295.1898</v>
      </c>
      <c r="BQ21" s="213">
        <f t="shared" si="5"/>
        <v>144295.1898</v>
      </c>
      <c r="BR21" s="213">
        <f t="shared" si="5"/>
        <v>144295.1898</v>
      </c>
      <c r="BS21" s="213">
        <f t="shared" si="5"/>
        <v>144295.1898</v>
      </c>
      <c r="BT21" s="213">
        <f t="shared" si="5"/>
        <v>144295.1898</v>
      </c>
      <c r="BU21" s="213">
        <f t="shared" si="5"/>
        <v>144295.1898</v>
      </c>
      <c r="BV21" s="213">
        <f t="shared" si="5"/>
        <v>144295.1898</v>
      </c>
      <c r="BW21" s="213">
        <f t="shared" si="5"/>
        <v>144295.1898</v>
      </c>
      <c r="BX21" s="213">
        <f t="shared" si="5"/>
        <v>148624.0455</v>
      </c>
      <c r="BY21" s="213">
        <f t="shared" si="5"/>
        <v>148624.0455</v>
      </c>
      <c r="BZ21" s="213">
        <f t="shared" si="5"/>
        <v>148624.0455</v>
      </c>
      <c r="CA21" s="213">
        <f t="shared" si="5"/>
        <v>148624.0455</v>
      </c>
      <c r="CB21" s="213">
        <f t="shared" si="5"/>
        <v>148624.0455</v>
      </c>
      <c r="CC21" s="213">
        <f t="shared" si="5"/>
        <v>148624.0455</v>
      </c>
      <c r="CD21" s="213">
        <f t="shared" si="5"/>
        <v>148624.0455</v>
      </c>
      <c r="CE21" s="213">
        <f t="shared" si="5"/>
        <v>148624.0455</v>
      </c>
      <c r="CF21" s="213">
        <f t="shared" si="5"/>
        <v>148624.0455</v>
      </c>
      <c r="CG21" s="213">
        <f t="shared" si="5"/>
        <v>148624.0455</v>
      </c>
      <c r="CH21" s="213">
        <f t="shared" si="5"/>
        <v>148624.0455</v>
      </c>
      <c r="CI21" s="213">
        <f t="shared" si="5"/>
        <v>148624.0455</v>
      </c>
      <c r="CJ21" s="213">
        <f t="shared" si="5"/>
        <v>153082.7669</v>
      </c>
      <c r="CK21" s="213">
        <f t="shared" si="5"/>
        <v>153082.7669</v>
      </c>
      <c r="CL21" s="213">
        <f t="shared" si="5"/>
        <v>153082.7669</v>
      </c>
      <c r="CM21" s="213">
        <f t="shared" si="5"/>
        <v>153082.7669</v>
      </c>
      <c r="CN21" s="213">
        <f t="shared" si="5"/>
        <v>153082.7669</v>
      </c>
      <c r="CO21" s="213">
        <f t="shared" si="5"/>
        <v>153082.7669</v>
      </c>
      <c r="CP21" s="213">
        <f t="shared" si="5"/>
        <v>153082.7669</v>
      </c>
      <c r="CQ21" s="213">
        <f t="shared" si="5"/>
        <v>153082.7669</v>
      </c>
      <c r="CR21" s="213">
        <f t="shared" si="5"/>
        <v>153082.7669</v>
      </c>
      <c r="CS21" s="213">
        <f t="shared" si="5"/>
        <v>153082.7669</v>
      </c>
      <c r="CT21" s="213">
        <f t="shared" si="5"/>
        <v>153082.7669</v>
      </c>
      <c r="CU21" s="213">
        <f t="shared" si="5"/>
        <v>153082.7669</v>
      </c>
      <c r="CV21" s="213">
        <f t="shared" si="5"/>
        <v>157675.2499</v>
      </c>
      <c r="CW21" s="213">
        <f t="shared" si="5"/>
        <v>157675.2499</v>
      </c>
      <c r="CX21" s="213">
        <f t="shared" si="5"/>
        <v>157675.2499</v>
      </c>
      <c r="CY21" s="213">
        <f t="shared" si="5"/>
        <v>157675.2499</v>
      </c>
      <c r="CZ21" s="213">
        <f t="shared" si="5"/>
        <v>157675.2499</v>
      </c>
      <c r="DA21" s="213">
        <f t="shared" si="5"/>
        <v>157675.2499</v>
      </c>
      <c r="DB21" s="213">
        <f t="shared" si="5"/>
        <v>157675.2499</v>
      </c>
      <c r="DC21" s="213">
        <f t="shared" si="5"/>
        <v>157675.2499</v>
      </c>
      <c r="DD21" s="213">
        <f t="shared" si="5"/>
        <v>157675.2499</v>
      </c>
      <c r="DE21" s="213">
        <f t="shared" si="5"/>
        <v>157675.2499</v>
      </c>
      <c r="DF21" s="213">
        <f t="shared" si="5"/>
        <v>157675.2499</v>
      </c>
      <c r="DG21" s="213">
        <f t="shared" si="5"/>
        <v>157675.2499</v>
      </c>
      <c r="DH21" s="213">
        <f t="shared" si="5"/>
        <v>158104.7761</v>
      </c>
      <c r="DI21" s="213">
        <f t="shared" si="5"/>
        <v>158104.7761</v>
      </c>
      <c r="DJ21" s="213">
        <f t="shared" si="5"/>
        <v>158104.7761</v>
      </c>
      <c r="DK21" s="213">
        <f t="shared" si="5"/>
        <v>158104.7761</v>
      </c>
      <c r="DL21" s="213">
        <f t="shared" si="5"/>
        <v>158104.7761</v>
      </c>
      <c r="DM21" s="213">
        <f t="shared" si="5"/>
        <v>158104.7761</v>
      </c>
      <c r="DN21" s="213">
        <f t="shared" si="5"/>
        <v>158104.7761</v>
      </c>
      <c r="DO21" s="213">
        <f t="shared" si="5"/>
        <v>158104.7761</v>
      </c>
      <c r="DP21" s="213">
        <f t="shared" si="5"/>
        <v>158104.7761</v>
      </c>
      <c r="DQ21" s="213">
        <f t="shared" si="5"/>
        <v>158104.7761</v>
      </c>
      <c r="DR21" s="213">
        <f t="shared" si="5"/>
        <v>158104.7761</v>
      </c>
      <c r="DS21" s="213">
        <f t="shared" si="5"/>
        <v>158104.7761</v>
      </c>
      <c r="DT21" s="213">
        <f t="shared" si="5"/>
        <v>167277.6726</v>
      </c>
      <c r="DU21" s="213">
        <f t="shared" si="5"/>
        <v>167277.6726</v>
      </c>
      <c r="DV21" s="213">
        <f t="shared" si="5"/>
        <v>167277.6726</v>
      </c>
      <c r="DW21" s="213">
        <f t="shared" si="5"/>
        <v>167277.6726</v>
      </c>
      <c r="DX21" s="213">
        <f t="shared" si="5"/>
        <v>167277.6726</v>
      </c>
      <c r="DY21" s="213">
        <f t="shared" si="5"/>
        <v>167277.6726</v>
      </c>
      <c r="DZ21" s="213">
        <f t="shared" si="5"/>
        <v>167277.6726</v>
      </c>
      <c r="EA21" s="213">
        <f t="shared" si="5"/>
        <v>167277.6726</v>
      </c>
      <c r="EB21" s="213">
        <f t="shared" si="5"/>
        <v>167277.6726</v>
      </c>
      <c r="EC21" s="213">
        <f t="shared" si="5"/>
        <v>167277.6726</v>
      </c>
      <c r="ED21" s="213">
        <f t="shared" si="5"/>
        <v>167277.6726</v>
      </c>
      <c r="EE21" s="213">
        <f t="shared" si="5"/>
        <v>167277.6726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9" t="s">
        <v>69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3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General &amp; Admin</v>
      </c>
      <c r="D24" s="54">
        <f t="array" ref="D24">-(IF(D$2=1,Assumptions!$X25/12,-(SUMIF($D$2:$EE$2,D$2-1,$D24:$EE24)/12)*(1+XLOOKUP(D$2,Assumptions!$C$94:$M$94,Assumptions!$C$98:$M$98))))</f>
        <v>-935.3670333</v>
      </c>
      <c r="E24" s="54">
        <f t="array" ref="E24">-(IF(E$2=1,Assumptions!$X25/12,-(SUMIF($D$2:$EE$2,E$2-1,$D24:$EE24)/12)*(1+XLOOKUP(E$2,Assumptions!$C$94:$M$94,Assumptions!$C$98:$M$98))))</f>
        <v>-935.3670333</v>
      </c>
      <c r="F24" s="54">
        <f t="array" ref="F24">-(IF(F$2=1,Assumptions!$X25/12,-(SUMIF($D$2:$EE$2,F$2-1,$D24:$EE24)/12)*(1+XLOOKUP(F$2,Assumptions!$C$94:$M$94,Assumptions!$C$98:$M$98))))</f>
        <v>-935.3670333</v>
      </c>
      <c r="G24" s="54">
        <f t="array" ref="G24">-(IF(G$2=1,Assumptions!$X25/12,-(SUMIF($D$2:$EE$2,G$2-1,$D24:$EE24)/12)*(1+XLOOKUP(G$2,Assumptions!$C$94:$M$94,Assumptions!$C$98:$M$98))))</f>
        <v>-935.3670333</v>
      </c>
      <c r="H24" s="54">
        <f t="array" ref="H24">-(IF(H$2=1,Assumptions!$X25/12,-(SUMIF($D$2:$EE$2,H$2-1,$D24:$EE24)/12)*(1+XLOOKUP(H$2,Assumptions!$C$94:$M$94,Assumptions!$C$98:$M$98))))</f>
        <v>-935.3670333</v>
      </c>
      <c r="I24" s="54">
        <f t="array" ref="I24">-(IF(I$2=1,Assumptions!$X25/12,-(SUMIF($D$2:$EE$2,I$2-1,$D24:$EE24)/12)*(1+XLOOKUP(I$2,Assumptions!$C$94:$M$94,Assumptions!$C$98:$M$98))))</f>
        <v>-935.3670333</v>
      </c>
      <c r="J24" s="54">
        <f t="array" ref="J24">-(IF(J$2=1,Assumptions!$X25/12,-(SUMIF($D$2:$EE$2,J$2-1,$D24:$EE24)/12)*(1+XLOOKUP(J$2,Assumptions!$C$94:$M$94,Assumptions!$C$98:$M$98))))</f>
        <v>-935.3670333</v>
      </c>
      <c r="K24" s="54">
        <f t="array" ref="K24">-(IF(K$2=1,Assumptions!$X25/12,-(SUMIF($D$2:$EE$2,K$2-1,$D24:$EE24)/12)*(1+XLOOKUP(K$2,Assumptions!$C$94:$M$94,Assumptions!$C$98:$M$98))))</f>
        <v>-935.3670333</v>
      </c>
      <c r="L24" s="54">
        <f t="array" ref="L24">-(IF(L$2=1,Assumptions!$X25/12,-(SUMIF($D$2:$EE$2,L$2-1,$D24:$EE24)/12)*(1+XLOOKUP(L$2,Assumptions!$C$94:$M$94,Assumptions!$C$98:$M$98))))</f>
        <v>-935.3670333</v>
      </c>
      <c r="M24" s="54">
        <f t="array" ref="M24">-(IF(M$2=1,Assumptions!$X25/12,-(SUMIF($D$2:$EE$2,M$2-1,$D24:$EE24)/12)*(1+XLOOKUP(M$2,Assumptions!$C$94:$M$94,Assumptions!$C$98:$M$98))))</f>
        <v>-935.3670333</v>
      </c>
      <c r="N24" s="54">
        <f t="array" ref="N24">-(IF(N$2=1,Assumptions!$X25/12,-(SUMIF($D$2:$EE$2,N$2-1,$D24:$EE24)/12)*(1+XLOOKUP(N$2,Assumptions!$C$94:$M$94,Assumptions!$C$98:$M$98))))</f>
        <v>-935.3670333</v>
      </c>
      <c r="O24" s="54">
        <f t="array" ref="O24">-(IF(O$2=1,Assumptions!$X25/12,-(SUMIF($D$2:$EE$2,O$2-1,$D24:$EE24)/12)*(1+XLOOKUP(O$2,Assumptions!$C$94:$M$94,Assumptions!$C$98:$M$98))))</f>
        <v>-935.3670333</v>
      </c>
      <c r="P24" s="54">
        <f t="array" ref="P24">-(IF(P$2=1,Assumptions!$X25/12,-(SUMIF($D$2:$EE$2,P$2-1,$D24:$EE24)/12)*(1+XLOOKUP(P$2,Assumptions!$C$94:$M$94,Assumptions!$C$98:$M$98))))</f>
        <v>-963.4280443</v>
      </c>
      <c r="Q24" s="54">
        <f t="array" ref="Q24">-(IF(Q$2=1,Assumptions!$X25/12,-(SUMIF($D$2:$EE$2,Q$2-1,$D24:$EE24)/12)*(1+XLOOKUP(Q$2,Assumptions!$C$94:$M$94,Assumptions!$C$98:$M$98))))</f>
        <v>-963.4280443</v>
      </c>
      <c r="R24" s="54">
        <f t="array" ref="R24">-(IF(R$2=1,Assumptions!$X25/12,-(SUMIF($D$2:$EE$2,R$2-1,$D24:$EE24)/12)*(1+XLOOKUP(R$2,Assumptions!$C$94:$M$94,Assumptions!$C$98:$M$98))))</f>
        <v>-963.4280443</v>
      </c>
      <c r="S24" s="54">
        <f t="array" ref="S24">-(IF(S$2=1,Assumptions!$X25/12,-(SUMIF($D$2:$EE$2,S$2-1,$D24:$EE24)/12)*(1+XLOOKUP(S$2,Assumptions!$C$94:$M$94,Assumptions!$C$98:$M$98))))</f>
        <v>-963.4280443</v>
      </c>
      <c r="T24" s="54">
        <f t="array" ref="T24">-(IF(T$2=1,Assumptions!$X25/12,-(SUMIF($D$2:$EE$2,T$2-1,$D24:$EE24)/12)*(1+XLOOKUP(T$2,Assumptions!$C$94:$M$94,Assumptions!$C$98:$M$98))))</f>
        <v>-963.4280443</v>
      </c>
      <c r="U24" s="54">
        <f t="array" ref="U24">-(IF(U$2=1,Assumptions!$X25/12,-(SUMIF($D$2:$EE$2,U$2-1,$D24:$EE24)/12)*(1+XLOOKUP(U$2,Assumptions!$C$94:$M$94,Assumptions!$C$98:$M$98))))</f>
        <v>-963.4280443</v>
      </c>
      <c r="V24" s="54">
        <f t="array" ref="V24">-(IF(V$2=1,Assumptions!$X25/12,-(SUMIF($D$2:$EE$2,V$2-1,$D24:$EE24)/12)*(1+XLOOKUP(V$2,Assumptions!$C$94:$M$94,Assumptions!$C$98:$M$98))))</f>
        <v>-963.4280443</v>
      </c>
      <c r="W24" s="54">
        <f t="array" ref="W24">-(IF(W$2=1,Assumptions!$X25/12,-(SUMIF($D$2:$EE$2,W$2-1,$D24:$EE24)/12)*(1+XLOOKUP(W$2,Assumptions!$C$94:$M$94,Assumptions!$C$98:$M$98))))</f>
        <v>-963.4280443</v>
      </c>
      <c r="X24" s="54">
        <f t="array" ref="X24">-(IF(X$2=1,Assumptions!$X25/12,-(SUMIF($D$2:$EE$2,X$2-1,$D24:$EE24)/12)*(1+XLOOKUP(X$2,Assumptions!$C$94:$M$94,Assumptions!$C$98:$M$98))))</f>
        <v>-963.4280443</v>
      </c>
      <c r="Y24" s="54">
        <f t="array" ref="Y24">-(IF(Y$2=1,Assumptions!$X25/12,-(SUMIF($D$2:$EE$2,Y$2-1,$D24:$EE24)/12)*(1+XLOOKUP(Y$2,Assumptions!$C$94:$M$94,Assumptions!$C$98:$M$98))))</f>
        <v>-963.4280443</v>
      </c>
      <c r="Z24" s="54">
        <f t="array" ref="Z24">-(IF(Z$2=1,Assumptions!$X25/12,-(SUMIF($D$2:$EE$2,Z$2-1,$D24:$EE24)/12)*(1+XLOOKUP(Z$2,Assumptions!$C$94:$M$94,Assumptions!$C$98:$M$98))))</f>
        <v>-963.4280443</v>
      </c>
      <c r="AA24" s="54">
        <f t="array" ref="AA24">-(IF(AA$2=1,Assumptions!$X25/12,-(SUMIF($D$2:$EE$2,AA$2-1,$D24:$EE24)/12)*(1+XLOOKUP(AA$2,Assumptions!$C$94:$M$94,Assumptions!$C$98:$M$98))))</f>
        <v>-963.4280443</v>
      </c>
      <c r="AB24" s="54">
        <f t="array" ref="AB24">-(IF(AB$2=1,Assumptions!$X25/12,-(SUMIF($D$2:$EE$2,AB$2-1,$D24:$EE24)/12)*(1+XLOOKUP(AB$2,Assumptions!$C$94:$M$94,Assumptions!$C$98:$M$98))))</f>
        <v>-992.3308857</v>
      </c>
      <c r="AC24" s="54">
        <f t="array" ref="AC24">-(IF(AC$2=1,Assumptions!$X25/12,-(SUMIF($D$2:$EE$2,AC$2-1,$D24:$EE24)/12)*(1+XLOOKUP(AC$2,Assumptions!$C$94:$M$94,Assumptions!$C$98:$M$98))))</f>
        <v>-992.3308857</v>
      </c>
      <c r="AD24" s="54">
        <f t="array" ref="AD24">-(IF(AD$2=1,Assumptions!$X25/12,-(SUMIF($D$2:$EE$2,AD$2-1,$D24:$EE24)/12)*(1+XLOOKUP(AD$2,Assumptions!$C$94:$M$94,Assumptions!$C$98:$M$98))))</f>
        <v>-992.3308857</v>
      </c>
      <c r="AE24" s="54">
        <f t="array" ref="AE24">-(IF(AE$2=1,Assumptions!$X25/12,-(SUMIF($D$2:$EE$2,AE$2-1,$D24:$EE24)/12)*(1+XLOOKUP(AE$2,Assumptions!$C$94:$M$94,Assumptions!$C$98:$M$98))))</f>
        <v>-992.3308857</v>
      </c>
      <c r="AF24" s="54">
        <f t="array" ref="AF24">-(IF(AF$2=1,Assumptions!$X25/12,-(SUMIF($D$2:$EE$2,AF$2-1,$D24:$EE24)/12)*(1+XLOOKUP(AF$2,Assumptions!$C$94:$M$94,Assumptions!$C$98:$M$98))))</f>
        <v>-992.3308857</v>
      </c>
      <c r="AG24" s="54">
        <f t="array" ref="AG24">-(IF(AG$2=1,Assumptions!$X25/12,-(SUMIF($D$2:$EE$2,AG$2-1,$D24:$EE24)/12)*(1+XLOOKUP(AG$2,Assumptions!$C$94:$M$94,Assumptions!$C$98:$M$98))))</f>
        <v>-992.3308857</v>
      </c>
      <c r="AH24" s="54">
        <f t="array" ref="AH24">-(IF(AH$2=1,Assumptions!$X25/12,-(SUMIF($D$2:$EE$2,AH$2-1,$D24:$EE24)/12)*(1+XLOOKUP(AH$2,Assumptions!$C$94:$M$94,Assumptions!$C$98:$M$98))))</f>
        <v>-992.3308857</v>
      </c>
      <c r="AI24" s="54">
        <f t="array" ref="AI24">-(IF(AI$2=1,Assumptions!$X25/12,-(SUMIF($D$2:$EE$2,AI$2-1,$D24:$EE24)/12)*(1+XLOOKUP(AI$2,Assumptions!$C$94:$M$94,Assumptions!$C$98:$M$98))))</f>
        <v>-992.3308857</v>
      </c>
      <c r="AJ24" s="54">
        <f t="array" ref="AJ24">-(IF(AJ$2=1,Assumptions!$X25/12,-(SUMIF($D$2:$EE$2,AJ$2-1,$D24:$EE24)/12)*(1+XLOOKUP(AJ$2,Assumptions!$C$94:$M$94,Assumptions!$C$98:$M$98))))</f>
        <v>-992.3308857</v>
      </c>
      <c r="AK24" s="54">
        <f t="array" ref="AK24">-(IF(AK$2=1,Assumptions!$X25/12,-(SUMIF($D$2:$EE$2,AK$2-1,$D24:$EE24)/12)*(1+XLOOKUP(AK$2,Assumptions!$C$94:$M$94,Assumptions!$C$98:$M$98))))</f>
        <v>-992.3308857</v>
      </c>
      <c r="AL24" s="54">
        <f t="array" ref="AL24">-(IF(AL$2=1,Assumptions!$X25/12,-(SUMIF($D$2:$EE$2,AL$2-1,$D24:$EE24)/12)*(1+XLOOKUP(AL$2,Assumptions!$C$94:$M$94,Assumptions!$C$98:$M$98))))</f>
        <v>-992.3308857</v>
      </c>
      <c r="AM24" s="54">
        <f t="array" ref="AM24">-(IF(AM$2=1,Assumptions!$X25/12,-(SUMIF($D$2:$EE$2,AM$2-1,$D24:$EE24)/12)*(1+XLOOKUP(AM$2,Assumptions!$C$94:$M$94,Assumptions!$C$98:$M$98))))</f>
        <v>-992.3308857</v>
      </c>
      <c r="AN24" s="54">
        <f t="array" ref="AN24">-(IF(AN$2=1,Assumptions!$X25/12,-(SUMIF($D$2:$EE$2,AN$2-1,$D24:$EE24)/12)*(1+XLOOKUP(AN$2,Assumptions!$C$94:$M$94,Assumptions!$C$98:$M$98))))</f>
        <v>-1022.100812</v>
      </c>
      <c r="AO24" s="54">
        <f t="array" ref="AO24">-(IF(AO$2=1,Assumptions!$X25/12,-(SUMIF($D$2:$EE$2,AO$2-1,$D24:$EE24)/12)*(1+XLOOKUP(AO$2,Assumptions!$C$94:$M$94,Assumptions!$C$98:$M$98))))</f>
        <v>-1022.100812</v>
      </c>
      <c r="AP24" s="54">
        <f t="array" ref="AP24">-(IF(AP$2=1,Assumptions!$X25/12,-(SUMIF($D$2:$EE$2,AP$2-1,$D24:$EE24)/12)*(1+XLOOKUP(AP$2,Assumptions!$C$94:$M$94,Assumptions!$C$98:$M$98))))</f>
        <v>-1022.100812</v>
      </c>
      <c r="AQ24" s="54">
        <f t="array" ref="AQ24">-(IF(AQ$2=1,Assumptions!$X25/12,-(SUMIF($D$2:$EE$2,AQ$2-1,$D24:$EE24)/12)*(1+XLOOKUP(AQ$2,Assumptions!$C$94:$M$94,Assumptions!$C$98:$M$98))))</f>
        <v>-1022.100812</v>
      </c>
      <c r="AR24" s="54">
        <f t="array" ref="AR24">-(IF(AR$2=1,Assumptions!$X25/12,-(SUMIF($D$2:$EE$2,AR$2-1,$D24:$EE24)/12)*(1+XLOOKUP(AR$2,Assumptions!$C$94:$M$94,Assumptions!$C$98:$M$98))))</f>
        <v>-1022.100812</v>
      </c>
      <c r="AS24" s="54">
        <f t="array" ref="AS24">-(IF(AS$2=1,Assumptions!$X25/12,-(SUMIF($D$2:$EE$2,AS$2-1,$D24:$EE24)/12)*(1+XLOOKUP(AS$2,Assumptions!$C$94:$M$94,Assumptions!$C$98:$M$98))))</f>
        <v>-1022.100812</v>
      </c>
      <c r="AT24" s="54">
        <f t="array" ref="AT24">-(IF(AT$2=1,Assumptions!$X25/12,-(SUMIF($D$2:$EE$2,AT$2-1,$D24:$EE24)/12)*(1+XLOOKUP(AT$2,Assumptions!$C$94:$M$94,Assumptions!$C$98:$M$98))))</f>
        <v>-1022.100812</v>
      </c>
      <c r="AU24" s="54">
        <f t="array" ref="AU24">-(IF(AU$2=1,Assumptions!$X25/12,-(SUMIF($D$2:$EE$2,AU$2-1,$D24:$EE24)/12)*(1+XLOOKUP(AU$2,Assumptions!$C$94:$M$94,Assumptions!$C$98:$M$98))))</f>
        <v>-1022.100812</v>
      </c>
      <c r="AV24" s="54">
        <f t="array" ref="AV24">-(IF(AV$2=1,Assumptions!$X25/12,-(SUMIF($D$2:$EE$2,AV$2-1,$D24:$EE24)/12)*(1+XLOOKUP(AV$2,Assumptions!$C$94:$M$94,Assumptions!$C$98:$M$98))))</f>
        <v>-1022.100812</v>
      </c>
      <c r="AW24" s="54">
        <f t="array" ref="AW24">-(IF(AW$2=1,Assumptions!$X25/12,-(SUMIF($D$2:$EE$2,AW$2-1,$D24:$EE24)/12)*(1+XLOOKUP(AW$2,Assumptions!$C$94:$M$94,Assumptions!$C$98:$M$98))))</f>
        <v>-1022.100812</v>
      </c>
      <c r="AX24" s="54">
        <f t="array" ref="AX24">-(IF(AX$2=1,Assumptions!$X25/12,-(SUMIF($D$2:$EE$2,AX$2-1,$D24:$EE24)/12)*(1+XLOOKUP(AX$2,Assumptions!$C$94:$M$94,Assumptions!$C$98:$M$98))))</f>
        <v>-1022.100812</v>
      </c>
      <c r="AY24" s="54">
        <f t="array" ref="AY24">-(IF(AY$2=1,Assumptions!$X25/12,-(SUMIF($D$2:$EE$2,AY$2-1,$D24:$EE24)/12)*(1+XLOOKUP(AY$2,Assumptions!$C$94:$M$94,Assumptions!$C$98:$M$98))))</f>
        <v>-1022.100812</v>
      </c>
      <c r="AZ24" s="54">
        <f t="array" ref="AZ24">-(IF(AZ$2=1,Assumptions!$X25/12,-(SUMIF($D$2:$EE$2,AZ$2-1,$D24:$EE24)/12)*(1+XLOOKUP(AZ$2,Assumptions!$C$94:$M$94,Assumptions!$C$98:$M$98))))</f>
        <v>-1052.763837</v>
      </c>
      <c r="BA24" s="54">
        <f t="array" ref="BA24">-(IF(BA$2=1,Assumptions!$X25/12,-(SUMIF($D$2:$EE$2,BA$2-1,$D24:$EE24)/12)*(1+XLOOKUP(BA$2,Assumptions!$C$94:$M$94,Assumptions!$C$98:$M$98))))</f>
        <v>-1052.763837</v>
      </c>
      <c r="BB24" s="54">
        <f t="array" ref="BB24">-(IF(BB$2=1,Assumptions!$X25/12,-(SUMIF($D$2:$EE$2,BB$2-1,$D24:$EE24)/12)*(1+XLOOKUP(BB$2,Assumptions!$C$94:$M$94,Assumptions!$C$98:$M$98))))</f>
        <v>-1052.763837</v>
      </c>
      <c r="BC24" s="54">
        <f t="array" ref="BC24">-(IF(BC$2=1,Assumptions!$X25/12,-(SUMIF($D$2:$EE$2,BC$2-1,$D24:$EE24)/12)*(1+XLOOKUP(BC$2,Assumptions!$C$94:$M$94,Assumptions!$C$98:$M$98))))</f>
        <v>-1052.763837</v>
      </c>
      <c r="BD24" s="54">
        <f t="array" ref="BD24">-(IF(BD$2=1,Assumptions!$X25/12,-(SUMIF($D$2:$EE$2,BD$2-1,$D24:$EE24)/12)*(1+XLOOKUP(BD$2,Assumptions!$C$94:$M$94,Assumptions!$C$98:$M$98))))</f>
        <v>-1052.763837</v>
      </c>
      <c r="BE24" s="54">
        <f t="array" ref="BE24">-(IF(BE$2=1,Assumptions!$X25/12,-(SUMIF($D$2:$EE$2,BE$2-1,$D24:$EE24)/12)*(1+XLOOKUP(BE$2,Assumptions!$C$94:$M$94,Assumptions!$C$98:$M$98))))</f>
        <v>-1052.763837</v>
      </c>
      <c r="BF24" s="54">
        <f t="array" ref="BF24">-(IF(BF$2=1,Assumptions!$X25/12,-(SUMIF($D$2:$EE$2,BF$2-1,$D24:$EE24)/12)*(1+XLOOKUP(BF$2,Assumptions!$C$94:$M$94,Assumptions!$C$98:$M$98))))</f>
        <v>-1052.763837</v>
      </c>
      <c r="BG24" s="54">
        <f t="array" ref="BG24">-(IF(BG$2=1,Assumptions!$X25/12,-(SUMIF($D$2:$EE$2,BG$2-1,$D24:$EE24)/12)*(1+XLOOKUP(BG$2,Assumptions!$C$94:$M$94,Assumptions!$C$98:$M$98))))</f>
        <v>-1052.763837</v>
      </c>
      <c r="BH24" s="54">
        <f t="array" ref="BH24">-(IF(BH$2=1,Assumptions!$X25/12,-(SUMIF($D$2:$EE$2,BH$2-1,$D24:$EE24)/12)*(1+XLOOKUP(BH$2,Assumptions!$C$94:$M$94,Assumptions!$C$98:$M$98))))</f>
        <v>-1052.763837</v>
      </c>
      <c r="BI24" s="54">
        <f t="array" ref="BI24">-(IF(BI$2=1,Assumptions!$X25/12,-(SUMIF($D$2:$EE$2,BI$2-1,$D24:$EE24)/12)*(1+XLOOKUP(BI$2,Assumptions!$C$94:$M$94,Assumptions!$C$98:$M$98))))</f>
        <v>-1052.763837</v>
      </c>
      <c r="BJ24" s="54">
        <f t="array" ref="BJ24">-(IF(BJ$2=1,Assumptions!$X25/12,-(SUMIF($D$2:$EE$2,BJ$2-1,$D24:$EE24)/12)*(1+XLOOKUP(BJ$2,Assumptions!$C$94:$M$94,Assumptions!$C$98:$M$98))))</f>
        <v>-1052.763837</v>
      </c>
      <c r="BK24" s="54">
        <f t="array" ref="BK24">-(IF(BK$2=1,Assumptions!$X25/12,-(SUMIF($D$2:$EE$2,BK$2-1,$D24:$EE24)/12)*(1+XLOOKUP(BK$2,Assumptions!$C$94:$M$94,Assumptions!$C$98:$M$98))))</f>
        <v>-1052.763837</v>
      </c>
      <c r="BL24" s="54">
        <f t="array" ref="BL24">-(IF(BL$2=1,Assumptions!$X25/12,-(SUMIF($D$2:$EE$2,BL$2-1,$D24:$EE24)/12)*(1+XLOOKUP(BL$2,Assumptions!$C$94:$M$94,Assumptions!$C$98:$M$98))))</f>
        <v>-1084.346752</v>
      </c>
      <c r="BM24" s="54">
        <f t="array" ref="BM24">-(IF(BM$2=1,Assumptions!$X25/12,-(SUMIF($D$2:$EE$2,BM$2-1,$D24:$EE24)/12)*(1+XLOOKUP(BM$2,Assumptions!$C$94:$M$94,Assumptions!$C$98:$M$98))))</f>
        <v>-1084.346752</v>
      </c>
      <c r="BN24" s="54">
        <f t="array" ref="BN24">-(IF(BN$2=1,Assumptions!$X25/12,-(SUMIF($D$2:$EE$2,BN$2-1,$D24:$EE24)/12)*(1+XLOOKUP(BN$2,Assumptions!$C$94:$M$94,Assumptions!$C$98:$M$98))))</f>
        <v>-1084.346752</v>
      </c>
      <c r="BO24" s="54">
        <f t="array" ref="BO24">-(IF(BO$2=1,Assumptions!$X25/12,-(SUMIF($D$2:$EE$2,BO$2-1,$D24:$EE24)/12)*(1+XLOOKUP(BO$2,Assumptions!$C$94:$M$94,Assumptions!$C$98:$M$98))))</f>
        <v>-1084.346752</v>
      </c>
      <c r="BP24" s="54">
        <f t="array" ref="BP24">-(IF(BP$2=1,Assumptions!$X25/12,-(SUMIF($D$2:$EE$2,BP$2-1,$D24:$EE24)/12)*(1+XLOOKUP(BP$2,Assumptions!$C$94:$M$94,Assumptions!$C$98:$M$98))))</f>
        <v>-1084.346752</v>
      </c>
      <c r="BQ24" s="54">
        <f t="array" ref="BQ24">-(IF(BQ$2=1,Assumptions!$X25/12,-(SUMIF($D$2:$EE$2,BQ$2-1,$D24:$EE24)/12)*(1+XLOOKUP(BQ$2,Assumptions!$C$94:$M$94,Assumptions!$C$98:$M$98))))</f>
        <v>-1084.346752</v>
      </c>
      <c r="BR24" s="54">
        <f t="array" ref="BR24">-(IF(BR$2=1,Assumptions!$X25/12,-(SUMIF($D$2:$EE$2,BR$2-1,$D24:$EE24)/12)*(1+XLOOKUP(BR$2,Assumptions!$C$94:$M$94,Assumptions!$C$98:$M$98))))</f>
        <v>-1084.346752</v>
      </c>
      <c r="BS24" s="54">
        <f t="array" ref="BS24">-(IF(BS$2=1,Assumptions!$X25/12,-(SUMIF($D$2:$EE$2,BS$2-1,$D24:$EE24)/12)*(1+XLOOKUP(BS$2,Assumptions!$C$94:$M$94,Assumptions!$C$98:$M$98))))</f>
        <v>-1084.346752</v>
      </c>
      <c r="BT24" s="54">
        <f t="array" ref="BT24">-(IF(BT$2=1,Assumptions!$X25/12,-(SUMIF($D$2:$EE$2,BT$2-1,$D24:$EE24)/12)*(1+XLOOKUP(BT$2,Assumptions!$C$94:$M$94,Assumptions!$C$98:$M$98))))</f>
        <v>-1084.346752</v>
      </c>
      <c r="BU24" s="54">
        <f t="array" ref="BU24">-(IF(BU$2=1,Assumptions!$X25/12,-(SUMIF($D$2:$EE$2,BU$2-1,$D24:$EE24)/12)*(1+XLOOKUP(BU$2,Assumptions!$C$94:$M$94,Assumptions!$C$98:$M$98))))</f>
        <v>-1084.346752</v>
      </c>
      <c r="BV24" s="54">
        <f t="array" ref="BV24">-(IF(BV$2=1,Assumptions!$X25/12,-(SUMIF($D$2:$EE$2,BV$2-1,$D24:$EE24)/12)*(1+XLOOKUP(BV$2,Assumptions!$C$94:$M$94,Assumptions!$C$98:$M$98))))</f>
        <v>-1084.346752</v>
      </c>
      <c r="BW24" s="54">
        <f t="array" ref="BW24">-(IF(BW$2=1,Assumptions!$X25/12,-(SUMIF($D$2:$EE$2,BW$2-1,$D24:$EE24)/12)*(1+XLOOKUP(BW$2,Assumptions!$C$94:$M$94,Assumptions!$C$98:$M$98))))</f>
        <v>-1084.346752</v>
      </c>
      <c r="BX24" s="54">
        <f t="array" ref="BX24">-(IF(BX$2=1,Assumptions!$X25/12,-(SUMIF($D$2:$EE$2,BX$2-1,$D24:$EE24)/12)*(1+XLOOKUP(BX$2,Assumptions!$C$94:$M$94,Assumptions!$C$98:$M$98))))</f>
        <v>-1116.877154</v>
      </c>
      <c r="BY24" s="54">
        <f t="array" ref="BY24">-(IF(BY$2=1,Assumptions!$X25/12,-(SUMIF($D$2:$EE$2,BY$2-1,$D24:$EE24)/12)*(1+XLOOKUP(BY$2,Assumptions!$C$94:$M$94,Assumptions!$C$98:$M$98))))</f>
        <v>-1116.877154</v>
      </c>
      <c r="BZ24" s="54">
        <f t="array" ref="BZ24">-(IF(BZ$2=1,Assumptions!$X25/12,-(SUMIF($D$2:$EE$2,BZ$2-1,$D24:$EE24)/12)*(1+XLOOKUP(BZ$2,Assumptions!$C$94:$M$94,Assumptions!$C$98:$M$98))))</f>
        <v>-1116.877154</v>
      </c>
      <c r="CA24" s="54">
        <f t="array" ref="CA24">-(IF(CA$2=1,Assumptions!$X25/12,-(SUMIF($D$2:$EE$2,CA$2-1,$D24:$EE24)/12)*(1+XLOOKUP(CA$2,Assumptions!$C$94:$M$94,Assumptions!$C$98:$M$98))))</f>
        <v>-1116.877154</v>
      </c>
      <c r="CB24" s="54">
        <f t="array" ref="CB24">-(IF(CB$2=1,Assumptions!$X25/12,-(SUMIF($D$2:$EE$2,CB$2-1,$D24:$EE24)/12)*(1+XLOOKUP(CB$2,Assumptions!$C$94:$M$94,Assumptions!$C$98:$M$98))))</f>
        <v>-1116.877154</v>
      </c>
      <c r="CC24" s="54">
        <f t="array" ref="CC24">-(IF(CC$2=1,Assumptions!$X25/12,-(SUMIF($D$2:$EE$2,CC$2-1,$D24:$EE24)/12)*(1+XLOOKUP(CC$2,Assumptions!$C$94:$M$94,Assumptions!$C$98:$M$98))))</f>
        <v>-1116.877154</v>
      </c>
      <c r="CD24" s="54">
        <f t="array" ref="CD24">-(IF(CD$2=1,Assumptions!$X25/12,-(SUMIF($D$2:$EE$2,CD$2-1,$D24:$EE24)/12)*(1+XLOOKUP(CD$2,Assumptions!$C$94:$M$94,Assumptions!$C$98:$M$98))))</f>
        <v>-1116.877154</v>
      </c>
      <c r="CE24" s="54">
        <f t="array" ref="CE24">-(IF(CE$2=1,Assumptions!$X25/12,-(SUMIF($D$2:$EE$2,CE$2-1,$D24:$EE24)/12)*(1+XLOOKUP(CE$2,Assumptions!$C$94:$M$94,Assumptions!$C$98:$M$98))))</f>
        <v>-1116.877154</v>
      </c>
      <c r="CF24" s="54">
        <f t="array" ref="CF24">-(IF(CF$2=1,Assumptions!$X25/12,-(SUMIF($D$2:$EE$2,CF$2-1,$D24:$EE24)/12)*(1+XLOOKUP(CF$2,Assumptions!$C$94:$M$94,Assumptions!$C$98:$M$98))))</f>
        <v>-1116.877154</v>
      </c>
      <c r="CG24" s="54">
        <f t="array" ref="CG24">-(IF(CG$2=1,Assumptions!$X25/12,-(SUMIF($D$2:$EE$2,CG$2-1,$D24:$EE24)/12)*(1+XLOOKUP(CG$2,Assumptions!$C$94:$M$94,Assumptions!$C$98:$M$98))))</f>
        <v>-1116.877154</v>
      </c>
      <c r="CH24" s="54">
        <f t="array" ref="CH24">-(IF(CH$2=1,Assumptions!$X25/12,-(SUMIF($D$2:$EE$2,CH$2-1,$D24:$EE24)/12)*(1+XLOOKUP(CH$2,Assumptions!$C$94:$M$94,Assumptions!$C$98:$M$98))))</f>
        <v>-1116.877154</v>
      </c>
      <c r="CI24" s="54">
        <f t="array" ref="CI24">-(IF(CI$2=1,Assumptions!$X25/12,-(SUMIF($D$2:$EE$2,CI$2-1,$D24:$EE24)/12)*(1+XLOOKUP(CI$2,Assumptions!$C$94:$M$94,Assumptions!$C$98:$M$98))))</f>
        <v>-1116.877154</v>
      </c>
      <c r="CJ24" s="54">
        <f t="array" ref="CJ24">-(IF(CJ$2=1,Assumptions!$X25/12,-(SUMIF($D$2:$EE$2,CJ$2-1,$D24:$EE24)/12)*(1+XLOOKUP(CJ$2,Assumptions!$C$94:$M$94,Assumptions!$C$98:$M$98))))</f>
        <v>-1150.383469</v>
      </c>
      <c r="CK24" s="54">
        <f t="array" ref="CK24">-(IF(CK$2=1,Assumptions!$X25/12,-(SUMIF($D$2:$EE$2,CK$2-1,$D24:$EE24)/12)*(1+XLOOKUP(CK$2,Assumptions!$C$94:$M$94,Assumptions!$C$98:$M$98))))</f>
        <v>-1150.383469</v>
      </c>
      <c r="CL24" s="54">
        <f t="array" ref="CL24">-(IF(CL$2=1,Assumptions!$X25/12,-(SUMIF($D$2:$EE$2,CL$2-1,$D24:$EE24)/12)*(1+XLOOKUP(CL$2,Assumptions!$C$94:$M$94,Assumptions!$C$98:$M$98))))</f>
        <v>-1150.383469</v>
      </c>
      <c r="CM24" s="54">
        <f t="array" ref="CM24">-(IF(CM$2=1,Assumptions!$X25/12,-(SUMIF($D$2:$EE$2,CM$2-1,$D24:$EE24)/12)*(1+XLOOKUP(CM$2,Assumptions!$C$94:$M$94,Assumptions!$C$98:$M$98))))</f>
        <v>-1150.383469</v>
      </c>
      <c r="CN24" s="54">
        <f t="array" ref="CN24">-(IF(CN$2=1,Assumptions!$X25/12,-(SUMIF($D$2:$EE$2,CN$2-1,$D24:$EE24)/12)*(1+XLOOKUP(CN$2,Assumptions!$C$94:$M$94,Assumptions!$C$98:$M$98))))</f>
        <v>-1150.383469</v>
      </c>
      <c r="CO24" s="54">
        <f t="array" ref="CO24">-(IF(CO$2=1,Assumptions!$X25/12,-(SUMIF($D$2:$EE$2,CO$2-1,$D24:$EE24)/12)*(1+XLOOKUP(CO$2,Assumptions!$C$94:$M$94,Assumptions!$C$98:$M$98))))</f>
        <v>-1150.383469</v>
      </c>
      <c r="CP24" s="54">
        <f t="array" ref="CP24">-(IF(CP$2=1,Assumptions!$X25/12,-(SUMIF($D$2:$EE$2,CP$2-1,$D24:$EE24)/12)*(1+XLOOKUP(CP$2,Assumptions!$C$94:$M$94,Assumptions!$C$98:$M$98))))</f>
        <v>-1150.383469</v>
      </c>
      <c r="CQ24" s="54">
        <f t="array" ref="CQ24">-(IF(CQ$2=1,Assumptions!$X25/12,-(SUMIF($D$2:$EE$2,CQ$2-1,$D24:$EE24)/12)*(1+XLOOKUP(CQ$2,Assumptions!$C$94:$M$94,Assumptions!$C$98:$M$98))))</f>
        <v>-1150.383469</v>
      </c>
      <c r="CR24" s="54">
        <f t="array" ref="CR24">-(IF(CR$2=1,Assumptions!$X25/12,-(SUMIF($D$2:$EE$2,CR$2-1,$D24:$EE24)/12)*(1+XLOOKUP(CR$2,Assumptions!$C$94:$M$94,Assumptions!$C$98:$M$98))))</f>
        <v>-1150.383469</v>
      </c>
      <c r="CS24" s="54">
        <f t="array" ref="CS24">-(IF(CS$2=1,Assumptions!$X25/12,-(SUMIF($D$2:$EE$2,CS$2-1,$D24:$EE24)/12)*(1+XLOOKUP(CS$2,Assumptions!$C$94:$M$94,Assumptions!$C$98:$M$98))))</f>
        <v>-1150.383469</v>
      </c>
      <c r="CT24" s="54">
        <f t="array" ref="CT24">-(IF(CT$2=1,Assumptions!$X25/12,-(SUMIF($D$2:$EE$2,CT$2-1,$D24:$EE24)/12)*(1+XLOOKUP(CT$2,Assumptions!$C$94:$M$94,Assumptions!$C$98:$M$98))))</f>
        <v>-1150.383469</v>
      </c>
      <c r="CU24" s="54">
        <f t="array" ref="CU24">-(IF(CU$2=1,Assumptions!$X25/12,-(SUMIF($D$2:$EE$2,CU$2-1,$D24:$EE24)/12)*(1+XLOOKUP(CU$2,Assumptions!$C$94:$M$94,Assumptions!$C$98:$M$98))))</f>
        <v>-1150.383469</v>
      </c>
      <c r="CV24" s="54">
        <f t="array" ref="CV24">-(IF(CV$2=1,Assumptions!$X25/12,-(SUMIF($D$2:$EE$2,CV$2-1,$D24:$EE24)/12)*(1+XLOOKUP(CV$2,Assumptions!$C$94:$M$94,Assumptions!$C$98:$M$98))))</f>
        <v>-1184.894973</v>
      </c>
      <c r="CW24" s="54">
        <f t="array" ref="CW24">-(IF(CW$2=1,Assumptions!$X25/12,-(SUMIF($D$2:$EE$2,CW$2-1,$D24:$EE24)/12)*(1+XLOOKUP(CW$2,Assumptions!$C$94:$M$94,Assumptions!$C$98:$M$98))))</f>
        <v>-1184.894973</v>
      </c>
      <c r="CX24" s="54">
        <f t="array" ref="CX24">-(IF(CX$2=1,Assumptions!$X25/12,-(SUMIF($D$2:$EE$2,CX$2-1,$D24:$EE24)/12)*(1+XLOOKUP(CX$2,Assumptions!$C$94:$M$94,Assumptions!$C$98:$M$98))))</f>
        <v>-1184.894973</v>
      </c>
      <c r="CY24" s="54">
        <f t="array" ref="CY24">-(IF(CY$2=1,Assumptions!$X25/12,-(SUMIF($D$2:$EE$2,CY$2-1,$D24:$EE24)/12)*(1+XLOOKUP(CY$2,Assumptions!$C$94:$M$94,Assumptions!$C$98:$M$98))))</f>
        <v>-1184.894973</v>
      </c>
      <c r="CZ24" s="54">
        <f t="array" ref="CZ24">-(IF(CZ$2=1,Assumptions!$X25/12,-(SUMIF($D$2:$EE$2,CZ$2-1,$D24:$EE24)/12)*(1+XLOOKUP(CZ$2,Assumptions!$C$94:$M$94,Assumptions!$C$98:$M$98))))</f>
        <v>-1184.894973</v>
      </c>
      <c r="DA24" s="54">
        <f t="array" ref="DA24">-(IF(DA$2=1,Assumptions!$X25/12,-(SUMIF($D$2:$EE$2,DA$2-1,$D24:$EE24)/12)*(1+XLOOKUP(DA$2,Assumptions!$C$94:$M$94,Assumptions!$C$98:$M$98))))</f>
        <v>-1184.894973</v>
      </c>
      <c r="DB24" s="54">
        <f t="array" ref="DB24">-(IF(DB$2=1,Assumptions!$X25/12,-(SUMIF($D$2:$EE$2,DB$2-1,$D24:$EE24)/12)*(1+XLOOKUP(DB$2,Assumptions!$C$94:$M$94,Assumptions!$C$98:$M$98))))</f>
        <v>-1184.894973</v>
      </c>
      <c r="DC24" s="54">
        <f t="array" ref="DC24">-(IF(DC$2=1,Assumptions!$X25/12,-(SUMIF($D$2:$EE$2,DC$2-1,$D24:$EE24)/12)*(1+XLOOKUP(DC$2,Assumptions!$C$94:$M$94,Assumptions!$C$98:$M$98))))</f>
        <v>-1184.894973</v>
      </c>
      <c r="DD24" s="54">
        <f t="array" ref="DD24">-(IF(DD$2=1,Assumptions!$X25/12,-(SUMIF($D$2:$EE$2,DD$2-1,$D24:$EE24)/12)*(1+XLOOKUP(DD$2,Assumptions!$C$94:$M$94,Assumptions!$C$98:$M$98))))</f>
        <v>-1184.894973</v>
      </c>
      <c r="DE24" s="54">
        <f t="array" ref="DE24">-(IF(DE$2=1,Assumptions!$X25/12,-(SUMIF($D$2:$EE$2,DE$2-1,$D24:$EE24)/12)*(1+XLOOKUP(DE$2,Assumptions!$C$94:$M$94,Assumptions!$C$98:$M$98))))</f>
        <v>-1184.894973</v>
      </c>
      <c r="DF24" s="54">
        <f t="array" ref="DF24">-(IF(DF$2=1,Assumptions!$X25/12,-(SUMIF($D$2:$EE$2,DF$2-1,$D24:$EE24)/12)*(1+XLOOKUP(DF$2,Assumptions!$C$94:$M$94,Assumptions!$C$98:$M$98))))</f>
        <v>-1184.894973</v>
      </c>
      <c r="DG24" s="54">
        <f t="array" ref="DG24">-(IF(DG$2=1,Assumptions!$X25/12,-(SUMIF($D$2:$EE$2,DG$2-1,$D24:$EE24)/12)*(1+XLOOKUP(DG$2,Assumptions!$C$94:$M$94,Assumptions!$C$98:$M$98))))</f>
        <v>-1184.894973</v>
      </c>
      <c r="DH24" s="54">
        <f t="array" ref="DH24">-(IF(DH$2=1,Assumptions!$X25/12,-(SUMIF($D$2:$EE$2,DH$2-1,$D24:$EE24)/12)*(1+XLOOKUP(DH$2,Assumptions!$C$94:$M$94,Assumptions!$C$98:$M$98))))</f>
        <v>-1220.441822</v>
      </c>
      <c r="DI24" s="54">
        <f t="array" ref="DI24">-(IF(DI$2=1,Assumptions!$X25/12,-(SUMIF($D$2:$EE$2,DI$2-1,$D24:$EE24)/12)*(1+XLOOKUP(DI$2,Assumptions!$C$94:$M$94,Assumptions!$C$98:$M$98))))</f>
        <v>-1220.441822</v>
      </c>
      <c r="DJ24" s="54">
        <f t="array" ref="DJ24">-(IF(DJ$2=1,Assumptions!$X25/12,-(SUMIF($D$2:$EE$2,DJ$2-1,$D24:$EE24)/12)*(1+XLOOKUP(DJ$2,Assumptions!$C$94:$M$94,Assumptions!$C$98:$M$98))))</f>
        <v>-1220.441822</v>
      </c>
      <c r="DK24" s="54">
        <f t="array" ref="DK24">-(IF(DK$2=1,Assumptions!$X25/12,-(SUMIF($D$2:$EE$2,DK$2-1,$D24:$EE24)/12)*(1+XLOOKUP(DK$2,Assumptions!$C$94:$M$94,Assumptions!$C$98:$M$98))))</f>
        <v>-1220.441822</v>
      </c>
      <c r="DL24" s="54">
        <f t="array" ref="DL24">-(IF(DL$2=1,Assumptions!$X25/12,-(SUMIF($D$2:$EE$2,DL$2-1,$D24:$EE24)/12)*(1+XLOOKUP(DL$2,Assumptions!$C$94:$M$94,Assumptions!$C$98:$M$98))))</f>
        <v>-1220.441822</v>
      </c>
      <c r="DM24" s="54">
        <f t="array" ref="DM24">-(IF(DM$2=1,Assumptions!$X25/12,-(SUMIF($D$2:$EE$2,DM$2-1,$D24:$EE24)/12)*(1+XLOOKUP(DM$2,Assumptions!$C$94:$M$94,Assumptions!$C$98:$M$98))))</f>
        <v>-1220.441822</v>
      </c>
      <c r="DN24" s="54">
        <f t="array" ref="DN24">-(IF(DN$2=1,Assumptions!$X25/12,-(SUMIF($D$2:$EE$2,DN$2-1,$D24:$EE24)/12)*(1+XLOOKUP(DN$2,Assumptions!$C$94:$M$94,Assumptions!$C$98:$M$98))))</f>
        <v>-1220.441822</v>
      </c>
      <c r="DO24" s="54">
        <f t="array" ref="DO24">-(IF(DO$2=1,Assumptions!$X25/12,-(SUMIF($D$2:$EE$2,DO$2-1,$D24:$EE24)/12)*(1+XLOOKUP(DO$2,Assumptions!$C$94:$M$94,Assumptions!$C$98:$M$98))))</f>
        <v>-1220.441822</v>
      </c>
      <c r="DP24" s="54">
        <f t="array" ref="DP24">-(IF(DP$2=1,Assumptions!$X25/12,-(SUMIF($D$2:$EE$2,DP$2-1,$D24:$EE24)/12)*(1+XLOOKUP(DP$2,Assumptions!$C$94:$M$94,Assumptions!$C$98:$M$98))))</f>
        <v>-1220.441822</v>
      </c>
      <c r="DQ24" s="54">
        <f t="array" ref="DQ24">-(IF(DQ$2=1,Assumptions!$X25/12,-(SUMIF($D$2:$EE$2,DQ$2-1,$D24:$EE24)/12)*(1+XLOOKUP(DQ$2,Assumptions!$C$94:$M$94,Assumptions!$C$98:$M$98))))</f>
        <v>-1220.441822</v>
      </c>
      <c r="DR24" s="54">
        <f t="array" ref="DR24">-(IF(DR$2=1,Assumptions!$X25/12,-(SUMIF($D$2:$EE$2,DR$2-1,$D24:$EE24)/12)*(1+XLOOKUP(DR$2,Assumptions!$C$94:$M$94,Assumptions!$C$98:$M$98))))</f>
        <v>-1220.441822</v>
      </c>
      <c r="DS24" s="54">
        <f t="array" ref="DS24">-(IF(DS$2=1,Assumptions!$X25/12,-(SUMIF($D$2:$EE$2,DS$2-1,$D24:$EE24)/12)*(1+XLOOKUP(DS$2,Assumptions!$C$94:$M$94,Assumptions!$C$98:$M$98))))</f>
        <v>-1220.441822</v>
      </c>
      <c r="DT24" s="54">
        <f t="array" ref="DT24">-(IF(DT$2=1,Assumptions!$X25/12,-(SUMIF($D$2:$EE$2,DT$2-1,$D24:$EE24)/12)*(1+XLOOKUP(DT$2,Assumptions!$C$94:$M$94,Assumptions!$C$98:$M$98))))</f>
        <v>-1257.055077</v>
      </c>
      <c r="DU24" s="54">
        <f t="array" ref="DU24">-(IF(DU$2=1,Assumptions!$X25/12,-(SUMIF($D$2:$EE$2,DU$2-1,$D24:$EE24)/12)*(1+XLOOKUP(DU$2,Assumptions!$C$94:$M$94,Assumptions!$C$98:$M$98))))</f>
        <v>-1257.055077</v>
      </c>
      <c r="DV24" s="54">
        <f t="array" ref="DV24">-(IF(DV$2=1,Assumptions!$X25/12,-(SUMIF($D$2:$EE$2,DV$2-1,$D24:$EE24)/12)*(1+XLOOKUP(DV$2,Assumptions!$C$94:$M$94,Assumptions!$C$98:$M$98))))</f>
        <v>-1257.055077</v>
      </c>
      <c r="DW24" s="54">
        <f t="array" ref="DW24">-(IF(DW$2=1,Assumptions!$X25/12,-(SUMIF($D$2:$EE$2,DW$2-1,$D24:$EE24)/12)*(1+XLOOKUP(DW$2,Assumptions!$C$94:$M$94,Assumptions!$C$98:$M$98))))</f>
        <v>-1257.055077</v>
      </c>
      <c r="DX24" s="54">
        <f t="array" ref="DX24">-(IF(DX$2=1,Assumptions!$X25/12,-(SUMIF($D$2:$EE$2,DX$2-1,$D24:$EE24)/12)*(1+XLOOKUP(DX$2,Assumptions!$C$94:$M$94,Assumptions!$C$98:$M$98))))</f>
        <v>-1257.055077</v>
      </c>
      <c r="DY24" s="54">
        <f t="array" ref="DY24">-(IF(DY$2=1,Assumptions!$X25/12,-(SUMIF($D$2:$EE$2,DY$2-1,$D24:$EE24)/12)*(1+XLOOKUP(DY$2,Assumptions!$C$94:$M$94,Assumptions!$C$98:$M$98))))</f>
        <v>-1257.055077</v>
      </c>
      <c r="DZ24" s="54">
        <f t="array" ref="DZ24">-(IF(DZ$2=1,Assumptions!$X25/12,-(SUMIF($D$2:$EE$2,DZ$2-1,$D24:$EE24)/12)*(1+XLOOKUP(DZ$2,Assumptions!$C$94:$M$94,Assumptions!$C$98:$M$98))))</f>
        <v>-1257.055077</v>
      </c>
      <c r="EA24" s="54">
        <f t="array" ref="EA24">-(IF(EA$2=1,Assumptions!$X25/12,-(SUMIF($D$2:$EE$2,EA$2-1,$D24:$EE24)/12)*(1+XLOOKUP(EA$2,Assumptions!$C$94:$M$94,Assumptions!$C$98:$M$98))))</f>
        <v>-1257.055077</v>
      </c>
      <c r="EB24" s="54">
        <f t="array" ref="EB24">-(IF(EB$2=1,Assumptions!$X25/12,-(SUMIF($D$2:$EE$2,EB$2-1,$D24:$EE24)/12)*(1+XLOOKUP(EB$2,Assumptions!$C$94:$M$94,Assumptions!$C$98:$M$98))))</f>
        <v>-1257.055077</v>
      </c>
      <c r="EC24" s="54">
        <f t="array" ref="EC24">-(IF(EC$2=1,Assumptions!$X25/12,-(SUMIF($D$2:$EE$2,EC$2-1,$D24:$EE24)/12)*(1+XLOOKUP(EC$2,Assumptions!$C$94:$M$94,Assumptions!$C$98:$M$98))))</f>
        <v>-1257.055077</v>
      </c>
      <c r="ED24" s="54">
        <f t="array" ref="ED24">-(IF(ED$2=1,Assumptions!$X25/12,-(SUMIF($D$2:$EE$2,ED$2-1,$D24:$EE24)/12)*(1+XLOOKUP(ED$2,Assumptions!$C$94:$M$94,Assumptions!$C$98:$M$98))))</f>
        <v>-1257.055077</v>
      </c>
      <c r="EE24" s="54">
        <f t="array" ref="EE24">-(IF(EE$2=1,Assumptions!$X25/12,-(SUMIF($D$2:$EE$2,EE$2-1,$D24:$EE24)/12)*(1+XLOOKUP(EE$2,Assumptions!$C$94:$M$94,Assumptions!$C$98:$M$98))))</f>
        <v>-1257.055077</v>
      </c>
    </row>
    <row r="25" ht="15.75" customHeight="1">
      <c r="A25" s="1"/>
      <c r="B25" s="1"/>
      <c r="C25" s="1" t="str">
        <f>Assumptions!J26</f>
        <v>Payroll</v>
      </c>
      <c r="D25" s="54">
        <f t="array" ref="D25">-(IF(D$2=1,Assumptions!$X26/12,-(SUMIF($D$2:$EE$2,D$2-1,$D25:$EE25)/12)*(1+XLOOKUP(D$2,Assumptions!$C$94:$M$94,Assumptions!$C$98:$M$98))))</f>
        <v>-4746.530117</v>
      </c>
      <c r="E25" s="54">
        <f t="array" ref="E25">-(IF(E$2=1,Assumptions!$X26/12,-(SUMIF($D$2:$EE$2,E$2-1,$D25:$EE25)/12)*(1+XLOOKUP(E$2,Assumptions!$C$94:$M$94,Assumptions!$C$98:$M$98))))</f>
        <v>-4746.530117</v>
      </c>
      <c r="F25" s="54">
        <f t="array" ref="F25">-(IF(F$2=1,Assumptions!$X26/12,-(SUMIF($D$2:$EE$2,F$2-1,$D25:$EE25)/12)*(1+XLOOKUP(F$2,Assumptions!$C$94:$M$94,Assumptions!$C$98:$M$98))))</f>
        <v>-4746.530117</v>
      </c>
      <c r="G25" s="54">
        <f t="array" ref="G25">-(IF(G$2=1,Assumptions!$X26/12,-(SUMIF($D$2:$EE$2,G$2-1,$D25:$EE25)/12)*(1+XLOOKUP(G$2,Assumptions!$C$94:$M$94,Assumptions!$C$98:$M$98))))</f>
        <v>-4746.530117</v>
      </c>
      <c r="H25" s="54">
        <f t="array" ref="H25">-(IF(H$2=1,Assumptions!$X26/12,-(SUMIF($D$2:$EE$2,H$2-1,$D25:$EE25)/12)*(1+XLOOKUP(H$2,Assumptions!$C$94:$M$94,Assumptions!$C$98:$M$98))))</f>
        <v>-4746.530117</v>
      </c>
      <c r="I25" s="54">
        <f t="array" ref="I25">-(IF(I$2=1,Assumptions!$X26/12,-(SUMIF($D$2:$EE$2,I$2-1,$D25:$EE25)/12)*(1+XLOOKUP(I$2,Assumptions!$C$94:$M$94,Assumptions!$C$98:$M$98))))</f>
        <v>-4746.530117</v>
      </c>
      <c r="J25" s="54">
        <f t="array" ref="J25">-(IF(J$2=1,Assumptions!$X26/12,-(SUMIF($D$2:$EE$2,J$2-1,$D25:$EE25)/12)*(1+XLOOKUP(J$2,Assumptions!$C$94:$M$94,Assumptions!$C$98:$M$98))))</f>
        <v>-4746.530117</v>
      </c>
      <c r="K25" s="54">
        <f t="array" ref="K25">-(IF(K$2=1,Assumptions!$X26/12,-(SUMIF($D$2:$EE$2,K$2-1,$D25:$EE25)/12)*(1+XLOOKUP(K$2,Assumptions!$C$94:$M$94,Assumptions!$C$98:$M$98))))</f>
        <v>-4746.530117</v>
      </c>
      <c r="L25" s="54">
        <f t="array" ref="L25">-(IF(L$2=1,Assumptions!$X26/12,-(SUMIF($D$2:$EE$2,L$2-1,$D25:$EE25)/12)*(1+XLOOKUP(L$2,Assumptions!$C$94:$M$94,Assumptions!$C$98:$M$98))))</f>
        <v>-4746.530117</v>
      </c>
      <c r="M25" s="54">
        <f t="array" ref="M25">-(IF(M$2=1,Assumptions!$X26/12,-(SUMIF($D$2:$EE$2,M$2-1,$D25:$EE25)/12)*(1+XLOOKUP(M$2,Assumptions!$C$94:$M$94,Assumptions!$C$98:$M$98))))</f>
        <v>-4746.530117</v>
      </c>
      <c r="N25" s="54">
        <f t="array" ref="N25">-(IF(N$2=1,Assumptions!$X26/12,-(SUMIF($D$2:$EE$2,N$2-1,$D25:$EE25)/12)*(1+XLOOKUP(N$2,Assumptions!$C$94:$M$94,Assumptions!$C$98:$M$98))))</f>
        <v>-4746.530117</v>
      </c>
      <c r="O25" s="54">
        <f t="array" ref="O25">-(IF(O$2=1,Assumptions!$X26/12,-(SUMIF($D$2:$EE$2,O$2-1,$D25:$EE25)/12)*(1+XLOOKUP(O$2,Assumptions!$C$94:$M$94,Assumptions!$C$98:$M$98))))</f>
        <v>-4746.530117</v>
      </c>
      <c r="P25" s="54">
        <f t="array" ref="P25">-(IF(P$2=1,Assumptions!$X26/12,-(SUMIF($D$2:$EE$2,P$2-1,$D25:$EE25)/12)*(1+XLOOKUP(P$2,Assumptions!$C$94:$M$94,Assumptions!$C$98:$M$98))))</f>
        <v>-4888.92602</v>
      </c>
      <c r="Q25" s="54">
        <f t="array" ref="Q25">-(IF(Q$2=1,Assumptions!$X26/12,-(SUMIF($D$2:$EE$2,Q$2-1,$D25:$EE25)/12)*(1+XLOOKUP(Q$2,Assumptions!$C$94:$M$94,Assumptions!$C$98:$M$98))))</f>
        <v>-4888.92602</v>
      </c>
      <c r="R25" s="54">
        <f t="array" ref="R25">-(IF(R$2=1,Assumptions!$X26/12,-(SUMIF($D$2:$EE$2,R$2-1,$D25:$EE25)/12)*(1+XLOOKUP(R$2,Assumptions!$C$94:$M$94,Assumptions!$C$98:$M$98))))</f>
        <v>-4888.92602</v>
      </c>
      <c r="S25" s="54">
        <f t="array" ref="S25">-(IF(S$2=1,Assumptions!$X26/12,-(SUMIF($D$2:$EE$2,S$2-1,$D25:$EE25)/12)*(1+XLOOKUP(S$2,Assumptions!$C$94:$M$94,Assumptions!$C$98:$M$98))))</f>
        <v>-4888.92602</v>
      </c>
      <c r="T25" s="54">
        <f t="array" ref="T25">-(IF(T$2=1,Assumptions!$X26/12,-(SUMIF($D$2:$EE$2,T$2-1,$D25:$EE25)/12)*(1+XLOOKUP(T$2,Assumptions!$C$94:$M$94,Assumptions!$C$98:$M$98))))</f>
        <v>-4888.92602</v>
      </c>
      <c r="U25" s="54">
        <f t="array" ref="U25">-(IF(U$2=1,Assumptions!$X26/12,-(SUMIF($D$2:$EE$2,U$2-1,$D25:$EE25)/12)*(1+XLOOKUP(U$2,Assumptions!$C$94:$M$94,Assumptions!$C$98:$M$98))))</f>
        <v>-4888.92602</v>
      </c>
      <c r="V25" s="54">
        <f t="array" ref="V25">-(IF(V$2=1,Assumptions!$X26/12,-(SUMIF($D$2:$EE$2,V$2-1,$D25:$EE25)/12)*(1+XLOOKUP(V$2,Assumptions!$C$94:$M$94,Assumptions!$C$98:$M$98))))</f>
        <v>-4888.92602</v>
      </c>
      <c r="W25" s="54">
        <f t="array" ref="W25">-(IF(W$2=1,Assumptions!$X26/12,-(SUMIF($D$2:$EE$2,W$2-1,$D25:$EE25)/12)*(1+XLOOKUP(W$2,Assumptions!$C$94:$M$94,Assumptions!$C$98:$M$98))))</f>
        <v>-4888.92602</v>
      </c>
      <c r="X25" s="54">
        <f t="array" ref="X25">-(IF(X$2=1,Assumptions!$X26/12,-(SUMIF($D$2:$EE$2,X$2-1,$D25:$EE25)/12)*(1+XLOOKUP(X$2,Assumptions!$C$94:$M$94,Assumptions!$C$98:$M$98))))</f>
        <v>-4888.92602</v>
      </c>
      <c r="Y25" s="54">
        <f t="array" ref="Y25">-(IF(Y$2=1,Assumptions!$X26/12,-(SUMIF($D$2:$EE$2,Y$2-1,$D25:$EE25)/12)*(1+XLOOKUP(Y$2,Assumptions!$C$94:$M$94,Assumptions!$C$98:$M$98))))</f>
        <v>-4888.92602</v>
      </c>
      <c r="Z25" s="54">
        <f t="array" ref="Z25">-(IF(Z$2=1,Assumptions!$X26/12,-(SUMIF($D$2:$EE$2,Z$2-1,$D25:$EE25)/12)*(1+XLOOKUP(Z$2,Assumptions!$C$94:$M$94,Assumptions!$C$98:$M$98))))</f>
        <v>-4888.92602</v>
      </c>
      <c r="AA25" s="54">
        <f t="array" ref="AA25">-(IF(AA$2=1,Assumptions!$X26/12,-(SUMIF($D$2:$EE$2,AA$2-1,$D25:$EE25)/12)*(1+XLOOKUP(AA$2,Assumptions!$C$94:$M$94,Assumptions!$C$98:$M$98))))</f>
        <v>-4888.92602</v>
      </c>
      <c r="AB25" s="54">
        <f t="array" ref="AB25">-(IF(AB$2=1,Assumptions!$X26/12,-(SUMIF($D$2:$EE$2,AB$2-1,$D25:$EE25)/12)*(1+XLOOKUP(AB$2,Assumptions!$C$94:$M$94,Assumptions!$C$98:$M$98))))</f>
        <v>-5035.593801</v>
      </c>
      <c r="AC25" s="54">
        <f t="array" ref="AC25">-(IF(AC$2=1,Assumptions!$X26/12,-(SUMIF($D$2:$EE$2,AC$2-1,$D25:$EE25)/12)*(1+XLOOKUP(AC$2,Assumptions!$C$94:$M$94,Assumptions!$C$98:$M$98))))</f>
        <v>-5035.593801</v>
      </c>
      <c r="AD25" s="54">
        <f t="array" ref="AD25">-(IF(AD$2=1,Assumptions!$X26/12,-(SUMIF($D$2:$EE$2,AD$2-1,$D25:$EE25)/12)*(1+XLOOKUP(AD$2,Assumptions!$C$94:$M$94,Assumptions!$C$98:$M$98))))</f>
        <v>-5035.593801</v>
      </c>
      <c r="AE25" s="54">
        <f t="array" ref="AE25">-(IF(AE$2=1,Assumptions!$X26/12,-(SUMIF($D$2:$EE$2,AE$2-1,$D25:$EE25)/12)*(1+XLOOKUP(AE$2,Assumptions!$C$94:$M$94,Assumptions!$C$98:$M$98))))</f>
        <v>-5035.593801</v>
      </c>
      <c r="AF25" s="54">
        <f t="array" ref="AF25">-(IF(AF$2=1,Assumptions!$X26/12,-(SUMIF($D$2:$EE$2,AF$2-1,$D25:$EE25)/12)*(1+XLOOKUP(AF$2,Assumptions!$C$94:$M$94,Assumptions!$C$98:$M$98))))</f>
        <v>-5035.593801</v>
      </c>
      <c r="AG25" s="54">
        <f t="array" ref="AG25">-(IF(AG$2=1,Assumptions!$X26/12,-(SUMIF($D$2:$EE$2,AG$2-1,$D25:$EE25)/12)*(1+XLOOKUP(AG$2,Assumptions!$C$94:$M$94,Assumptions!$C$98:$M$98))))</f>
        <v>-5035.593801</v>
      </c>
      <c r="AH25" s="54">
        <f t="array" ref="AH25">-(IF(AH$2=1,Assumptions!$X26/12,-(SUMIF($D$2:$EE$2,AH$2-1,$D25:$EE25)/12)*(1+XLOOKUP(AH$2,Assumptions!$C$94:$M$94,Assumptions!$C$98:$M$98))))</f>
        <v>-5035.593801</v>
      </c>
      <c r="AI25" s="54">
        <f t="array" ref="AI25">-(IF(AI$2=1,Assumptions!$X26/12,-(SUMIF($D$2:$EE$2,AI$2-1,$D25:$EE25)/12)*(1+XLOOKUP(AI$2,Assumptions!$C$94:$M$94,Assumptions!$C$98:$M$98))))</f>
        <v>-5035.593801</v>
      </c>
      <c r="AJ25" s="54">
        <f t="array" ref="AJ25">-(IF(AJ$2=1,Assumptions!$X26/12,-(SUMIF($D$2:$EE$2,AJ$2-1,$D25:$EE25)/12)*(1+XLOOKUP(AJ$2,Assumptions!$C$94:$M$94,Assumptions!$C$98:$M$98))))</f>
        <v>-5035.593801</v>
      </c>
      <c r="AK25" s="54">
        <f t="array" ref="AK25">-(IF(AK$2=1,Assumptions!$X26/12,-(SUMIF($D$2:$EE$2,AK$2-1,$D25:$EE25)/12)*(1+XLOOKUP(AK$2,Assumptions!$C$94:$M$94,Assumptions!$C$98:$M$98))))</f>
        <v>-5035.593801</v>
      </c>
      <c r="AL25" s="54">
        <f t="array" ref="AL25">-(IF(AL$2=1,Assumptions!$X26/12,-(SUMIF($D$2:$EE$2,AL$2-1,$D25:$EE25)/12)*(1+XLOOKUP(AL$2,Assumptions!$C$94:$M$94,Assumptions!$C$98:$M$98))))</f>
        <v>-5035.593801</v>
      </c>
      <c r="AM25" s="54">
        <f t="array" ref="AM25">-(IF(AM$2=1,Assumptions!$X26/12,-(SUMIF($D$2:$EE$2,AM$2-1,$D25:$EE25)/12)*(1+XLOOKUP(AM$2,Assumptions!$C$94:$M$94,Assumptions!$C$98:$M$98))))</f>
        <v>-5035.593801</v>
      </c>
      <c r="AN25" s="54">
        <f t="array" ref="AN25">-(IF(AN$2=1,Assumptions!$X26/12,-(SUMIF($D$2:$EE$2,AN$2-1,$D25:$EE25)/12)*(1+XLOOKUP(AN$2,Assumptions!$C$94:$M$94,Assumptions!$C$98:$M$98))))</f>
        <v>-5186.661615</v>
      </c>
      <c r="AO25" s="54">
        <f t="array" ref="AO25">-(IF(AO$2=1,Assumptions!$X26/12,-(SUMIF($D$2:$EE$2,AO$2-1,$D25:$EE25)/12)*(1+XLOOKUP(AO$2,Assumptions!$C$94:$M$94,Assumptions!$C$98:$M$98))))</f>
        <v>-5186.661615</v>
      </c>
      <c r="AP25" s="54">
        <f t="array" ref="AP25">-(IF(AP$2=1,Assumptions!$X26/12,-(SUMIF($D$2:$EE$2,AP$2-1,$D25:$EE25)/12)*(1+XLOOKUP(AP$2,Assumptions!$C$94:$M$94,Assumptions!$C$98:$M$98))))</f>
        <v>-5186.661615</v>
      </c>
      <c r="AQ25" s="54">
        <f t="array" ref="AQ25">-(IF(AQ$2=1,Assumptions!$X26/12,-(SUMIF($D$2:$EE$2,AQ$2-1,$D25:$EE25)/12)*(1+XLOOKUP(AQ$2,Assumptions!$C$94:$M$94,Assumptions!$C$98:$M$98))))</f>
        <v>-5186.661615</v>
      </c>
      <c r="AR25" s="54">
        <f t="array" ref="AR25">-(IF(AR$2=1,Assumptions!$X26/12,-(SUMIF($D$2:$EE$2,AR$2-1,$D25:$EE25)/12)*(1+XLOOKUP(AR$2,Assumptions!$C$94:$M$94,Assumptions!$C$98:$M$98))))</f>
        <v>-5186.661615</v>
      </c>
      <c r="AS25" s="54">
        <f t="array" ref="AS25">-(IF(AS$2=1,Assumptions!$X26/12,-(SUMIF($D$2:$EE$2,AS$2-1,$D25:$EE25)/12)*(1+XLOOKUP(AS$2,Assumptions!$C$94:$M$94,Assumptions!$C$98:$M$98))))</f>
        <v>-5186.661615</v>
      </c>
      <c r="AT25" s="54">
        <f t="array" ref="AT25">-(IF(AT$2=1,Assumptions!$X26/12,-(SUMIF($D$2:$EE$2,AT$2-1,$D25:$EE25)/12)*(1+XLOOKUP(AT$2,Assumptions!$C$94:$M$94,Assumptions!$C$98:$M$98))))</f>
        <v>-5186.661615</v>
      </c>
      <c r="AU25" s="54">
        <f t="array" ref="AU25">-(IF(AU$2=1,Assumptions!$X26/12,-(SUMIF($D$2:$EE$2,AU$2-1,$D25:$EE25)/12)*(1+XLOOKUP(AU$2,Assumptions!$C$94:$M$94,Assumptions!$C$98:$M$98))))</f>
        <v>-5186.661615</v>
      </c>
      <c r="AV25" s="54">
        <f t="array" ref="AV25">-(IF(AV$2=1,Assumptions!$X26/12,-(SUMIF($D$2:$EE$2,AV$2-1,$D25:$EE25)/12)*(1+XLOOKUP(AV$2,Assumptions!$C$94:$M$94,Assumptions!$C$98:$M$98))))</f>
        <v>-5186.661615</v>
      </c>
      <c r="AW25" s="54">
        <f t="array" ref="AW25">-(IF(AW$2=1,Assumptions!$X26/12,-(SUMIF($D$2:$EE$2,AW$2-1,$D25:$EE25)/12)*(1+XLOOKUP(AW$2,Assumptions!$C$94:$M$94,Assumptions!$C$98:$M$98))))</f>
        <v>-5186.661615</v>
      </c>
      <c r="AX25" s="54">
        <f t="array" ref="AX25">-(IF(AX$2=1,Assumptions!$X26/12,-(SUMIF($D$2:$EE$2,AX$2-1,$D25:$EE25)/12)*(1+XLOOKUP(AX$2,Assumptions!$C$94:$M$94,Assumptions!$C$98:$M$98))))</f>
        <v>-5186.661615</v>
      </c>
      <c r="AY25" s="54">
        <f t="array" ref="AY25">-(IF(AY$2=1,Assumptions!$X26/12,-(SUMIF($D$2:$EE$2,AY$2-1,$D25:$EE25)/12)*(1+XLOOKUP(AY$2,Assumptions!$C$94:$M$94,Assumptions!$C$98:$M$98))))</f>
        <v>-5186.661615</v>
      </c>
      <c r="AZ25" s="54">
        <f t="array" ref="AZ25">-(IF(AZ$2=1,Assumptions!$X26/12,-(SUMIF($D$2:$EE$2,AZ$2-1,$D25:$EE25)/12)*(1+XLOOKUP(AZ$2,Assumptions!$C$94:$M$94,Assumptions!$C$98:$M$98))))</f>
        <v>-5342.261463</v>
      </c>
      <c r="BA25" s="54">
        <f t="array" ref="BA25">-(IF(BA$2=1,Assumptions!$X26/12,-(SUMIF($D$2:$EE$2,BA$2-1,$D25:$EE25)/12)*(1+XLOOKUP(BA$2,Assumptions!$C$94:$M$94,Assumptions!$C$98:$M$98))))</f>
        <v>-5342.261463</v>
      </c>
      <c r="BB25" s="54">
        <f t="array" ref="BB25">-(IF(BB$2=1,Assumptions!$X26/12,-(SUMIF($D$2:$EE$2,BB$2-1,$D25:$EE25)/12)*(1+XLOOKUP(BB$2,Assumptions!$C$94:$M$94,Assumptions!$C$98:$M$98))))</f>
        <v>-5342.261463</v>
      </c>
      <c r="BC25" s="54">
        <f t="array" ref="BC25">-(IF(BC$2=1,Assumptions!$X26/12,-(SUMIF($D$2:$EE$2,BC$2-1,$D25:$EE25)/12)*(1+XLOOKUP(BC$2,Assumptions!$C$94:$M$94,Assumptions!$C$98:$M$98))))</f>
        <v>-5342.261463</v>
      </c>
      <c r="BD25" s="54">
        <f t="array" ref="BD25">-(IF(BD$2=1,Assumptions!$X26/12,-(SUMIF($D$2:$EE$2,BD$2-1,$D25:$EE25)/12)*(1+XLOOKUP(BD$2,Assumptions!$C$94:$M$94,Assumptions!$C$98:$M$98))))</f>
        <v>-5342.261463</v>
      </c>
      <c r="BE25" s="54">
        <f t="array" ref="BE25">-(IF(BE$2=1,Assumptions!$X26/12,-(SUMIF($D$2:$EE$2,BE$2-1,$D25:$EE25)/12)*(1+XLOOKUP(BE$2,Assumptions!$C$94:$M$94,Assumptions!$C$98:$M$98))))</f>
        <v>-5342.261463</v>
      </c>
      <c r="BF25" s="54">
        <f t="array" ref="BF25">-(IF(BF$2=1,Assumptions!$X26/12,-(SUMIF($D$2:$EE$2,BF$2-1,$D25:$EE25)/12)*(1+XLOOKUP(BF$2,Assumptions!$C$94:$M$94,Assumptions!$C$98:$M$98))))</f>
        <v>-5342.261463</v>
      </c>
      <c r="BG25" s="54">
        <f t="array" ref="BG25">-(IF(BG$2=1,Assumptions!$X26/12,-(SUMIF($D$2:$EE$2,BG$2-1,$D25:$EE25)/12)*(1+XLOOKUP(BG$2,Assumptions!$C$94:$M$94,Assumptions!$C$98:$M$98))))</f>
        <v>-5342.261463</v>
      </c>
      <c r="BH25" s="54">
        <f t="array" ref="BH25">-(IF(BH$2=1,Assumptions!$X26/12,-(SUMIF($D$2:$EE$2,BH$2-1,$D25:$EE25)/12)*(1+XLOOKUP(BH$2,Assumptions!$C$94:$M$94,Assumptions!$C$98:$M$98))))</f>
        <v>-5342.261463</v>
      </c>
      <c r="BI25" s="54">
        <f t="array" ref="BI25">-(IF(BI$2=1,Assumptions!$X26/12,-(SUMIF($D$2:$EE$2,BI$2-1,$D25:$EE25)/12)*(1+XLOOKUP(BI$2,Assumptions!$C$94:$M$94,Assumptions!$C$98:$M$98))))</f>
        <v>-5342.261463</v>
      </c>
      <c r="BJ25" s="54">
        <f t="array" ref="BJ25">-(IF(BJ$2=1,Assumptions!$X26/12,-(SUMIF($D$2:$EE$2,BJ$2-1,$D25:$EE25)/12)*(1+XLOOKUP(BJ$2,Assumptions!$C$94:$M$94,Assumptions!$C$98:$M$98))))</f>
        <v>-5342.261463</v>
      </c>
      <c r="BK25" s="54">
        <f t="array" ref="BK25">-(IF(BK$2=1,Assumptions!$X26/12,-(SUMIF($D$2:$EE$2,BK$2-1,$D25:$EE25)/12)*(1+XLOOKUP(BK$2,Assumptions!$C$94:$M$94,Assumptions!$C$98:$M$98))))</f>
        <v>-5342.261463</v>
      </c>
      <c r="BL25" s="54">
        <f t="array" ref="BL25">-(IF(BL$2=1,Assumptions!$X26/12,-(SUMIF($D$2:$EE$2,BL$2-1,$D25:$EE25)/12)*(1+XLOOKUP(BL$2,Assumptions!$C$94:$M$94,Assumptions!$C$98:$M$98))))</f>
        <v>-5502.529307</v>
      </c>
      <c r="BM25" s="54">
        <f t="array" ref="BM25">-(IF(BM$2=1,Assumptions!$X26/12,-(SUMIF($D$2:$EE$2,BM$2-1,$D25:$EE25)/12)*(1+XLOOKUP(BM$2,Assumptions!$C$94:$M$94,Assumptions!$C$98:$M$98))))</f>
        <v>-5502.529307</v>
      </c>
      <c r="BN25" s="54">
        <f t="array" ref="BN25">-(IF(BN$2=1,Assumptions!$X26/12,-(SUMIF($D$2:$EE$2,BN$2-1,$D25:$EE25)/12)*(1+XLOOKUP(BN$2,Assumptions!$C$94:$M$94,Assumptions!$C$98:$M$98))))</f>
        <v>-5502.529307</v>
      </c>
      <c r="BO25" s="54">
        <f t="array" ref="BO25">-(IF(BO$2=1,Assumptions!$X26/12,-(SUMIF($D$2:$EE$2,BO$2-1,$D25:$EE25)/12)*(1+XLOOKUP(BO$2,Assumptions!$C$94:$M$94,Assumptions!$C$98:$M$98))))</f>
        <v>-5502.529307</v>
      </c>
      <c r="BP25" s="54">
        <f t="array" ref="BP25">-(IF(BP$2=1,Assumptions!$X26/12,-(SUMIF($D$2:$EE$2,BP$2-1,$D25:$EE25)/12)*(1+XLOOKUP(BP$2,Assumptions!$C$94:$M$94,Assumptions!$C$98:$M$98))))</f>
        <v>-5502.529307</v>
      </c>
      <c r="BQ25" s="54">
        <f t="array" ref="BQ25">-(IF(BQ$2=1,Assumptions!$X26/12,-(SUMIF($D$2:$EE$2,BQ$2-1,$D25:$EE25)/12)*(1+XLOOKUP(BQ$2,Assumptions!$C$94:$M$94,Assumptions!$C$98:$M$98))))</f>
        <v>-5502.529307</v>
      </c>
      <c r="BR25" s="54">
        <f t="array" ref="BR25">-(IF(BR$2=1,Assumptions!$X26/12,-(SUMIF($D$2:$EE$2,BR$2-1,$D25:$EE25)/12)*(1+XLOOKUP(BR$2,Assumptions!$C$94:$M$94,Assumptions!$C$98:$M$98))))</f>
        <v>-5502.529307</v>
      </c>
      <c r="BS25" s="54">
        <f t="array" ref="BS25">-(IF(BS$2=1,Assumptions!$X26/12,-(SUMIF($D$2:$EE$2,BS$2-1,$D25:$EE25)/12)*(1+XLOOKUP(BS$2,Assumptions!$C$94:$M$94,Assumptions!$C$98:$M$98))))</f>
        <v>-5502.529307</v>
      </c>
      <c r="BT25" s="54">
        <f t="array" ref="BT25">-(IF(BT$2=1,Assumptions!$X26/12,-(SUMIF($D$2:$EE$2,BT$2-1,$D25:$EE25)/12)*(1+XLOOKUP(BT$2,Assumptions!$C$94:$M$94,Assumptions!$C$98:$M$98))))</f>
        <v>-5502.529307</v>
      </c>
      <c r="BU25" s="54">
        <f t="array" ref="BU25">-(IF(BU$2=1,Assumptions!$X26/12,-(SUMIF($D$2:$EE$2,BU$2-1,$D25:$EE25)/12)*(1+XLOOKUP(BU$2,Assumptions!$C$94:$M$94,Assumptions!$C$98:$M$98))))</f>
        <v>-5502.529307</v>
      </c>
      <c r="BV25" s="54">
        <f t="array" ref="BV25">-(IF(BV$2=1,Assumptions!$X26/12,-(SUMIF($D$2:$EE$2,BV$2-1,$D25:$EE25)/12)*(1+XLOOKUP(BV$2,Assumptions!$C$94:$M$94,Assumptions!$C$98:$M$98))))</f>
        <v>-5502.529307</v>
      </c>
      <c r="BW25" s="54">
        <f t="array" ref="BW25">-(IF(BW$2=1,Assumptions!$X26/12,-(SUMIF($D$2:$EE$2,BW$2-1,$D25:$EE25)/12)*(1+XLOOKUP(BW$2,Assumptions!$C$94:$M$94,Assumptions!$C$98:$M$98))))</f>
        <v>-5502.529307</v>
      </c>
      <c r="BX25" s="54">
        <f t="array" ref="BX25">-(IF(BX$2=1,Assumptions!$X26/12,-(SUMIF($D$2:$EE$2,BX$2-1,$D25:$EE25)/12)*(1+XLOOKUP(BX$2,Assumptions!$C$94:$M$94,Assumptions!$C$98:$M$98))))</f>
        <v>-5667.605186</v>
      </c>
      <c r="BY25" s="54">
        <f t="array" ref="BY25">-(IF(BY$2=1,Assumptions!$X26/12,-(SUMIF($D$2:$EE$2,BY$2-1,$D25:$EE25)/12)*(1+XLOOKUP(BY$2,Assumptions!$C$94:$M$94,Assumptions!$C$98:$M$98))))</f>
        <v>-5667.605186</v>
      </c>
      <c r="BZ25" s="54">
        <f t="array" ref="BZ25">-(IF(BZ$2=1,Assumptions!$X26/12,-(SUMIF($D$2:$EE$2,BZ$2-1,$D25:$EE25)/12)*(1+XLOOKUP(BZ$2,Assumptions!$C$94:$M$94,Assumptions!$C$98:$M$98))))</f>
        <v>-5667.605186</v>
      </c>
      <c r="CA25" s="54">
        <f t="array" ref="CA25">-(IF(CA$2=1,Assumptions!$X26/12,-(SUMIF($D$2:$EE$2,CA$2-1,$D25:$EE25)/12)*(1+XLOOKUP(CA$2,Assumptions!$C$94:$M$94,Assumptions!$C$98:$M$98))))</f>
        <v>-5667.605186</v>
      </c>
      <c r="CB25" s="54">
        <f t="array" ref="CB25">-(IF(CB$2=1,Assumptions!$X26/12,-(SUMIF($D$2:$EE$2,CB$2-1,$D25:$EE25)/12)*(1+XLOOKUP(CB$2,Assumptions!$C$94:$M$94,Assumptions!$C$98:$M$98))))</f>
        <v>-5667.605186</v>
      </c>
      <c r="CC25" s="54">
        <f t="array" ref="CC25">-(IF(CC$2=1,Assumptions!$X26/12,-(SUMIF($D$2:$EE$2,CC$2-1,$D25:$EE25)/12)*(1+XLOOKUP(CC$2,Assumptions!$C$94:$M$94,Assumptions!$C$98:$M$98))))</f>
        <v>-5667.605186</v>
      </c>
      <c r="CD25" s="54">
        <f t="array" ref="CD25">-(IF(CD$2=1,Assumptions!$X26/12,-(SUMIF($D$2:$EE$2,CD$2-1,$D25:$EE25)/12)*(1+XLOOKUP(CD$2,Assumptions!$C$94:$M$94,Assumptions!$C$98:$M$98))))</f>
        <v>-5667.605186</v>
      </c>
      <c r="CE25" s="54">
        <f t="array" ref="CE25">-(IF(CE$2=1,Assumptions!$X26/12,-(SUMIF($D$2:$EE$2,CE$2-1,$D25:$EE25)/12)*(1+XLOOKUP(CE$2,Assumptions!$C$94:$M$94,Assumptions!$C$98:$M$98))))</f>
        <v>-5667.605186</v>
      </c>
      <c r="CF25" s="54">
        <f t="array" ref="CF25">-(IF(CF$2=1,Assumptions!$X26/12,-(SUMIF($D$2:$EE$2,CF$2-1,$D25:$EE25)/12)*(1+XLOOKUP(CF$2,Assumptions!$C$94:$M$94,Assumptions!$C$98:$M$98))))</f>
        <v>-5667.605186</v>
      </c>
      <c r="CG25" s="54">
        <f t="array" ref="CG25">-(IF(CG$2=1,Assumptions!$X26/12,-(SUMIF($D$2:$EE$2,CG$2-1,$D25:$EE25)/12)*(1+XLOOKUP(CG$2,Assumptions!$C$94:$M$94,Assumptions!$C$98:$M$98))))</f>
        <v>-5667.605186</v>
      </c>
      <c r="CH25" s="54">
        <f t="array" ref="CH25">-(IF(CH$2=1,Assumptions!$X26/12,-(SUMIF($D$2:$EE$2,CH$2-1,$D25:$EE25)/12)*(1+XLOOKUP(CH$2,Assumptions!$C$94:$M$94,Assumptions!$C$98:$M$98))))</f>
        <v>-5667.605186</v>
      </c>
      <c r="CI25" s="54">
        <f t="array" ref="CI25">-(IF(CI$2=1,Assumptions!$X26/12,-(SUMIF($D$2:$EE$2,CI$2-1,$D25:$EE25)/12)*(1+XLOOKUP(CI$2,Assumptions!$C$94:$M$94,Assumptions!$C$98:$M$98))))</f>
        <v>-5667.605186</v>
      </c>
      <c r="CJ25" s="54">
        <f t="array" ref="CJ25">-(IF(CJ$2=1,Assumptions!$X26/12,-(SUMIF($D$2:$EE$2,CJ$2-1,$D25:$EE25)/12)*(1+XLOOKUP(CJ$2,Assumptions!$C$94:$M$94,Assumptions!$C$98:$M$98))))</f>
        <v>-5837.633342</v>
      </c>
      <c r="CK25" s="54">
        <f t="array" ref="CK25">-(IF(CK$2=1,Assumptions!$X26/12,-(SUMIF($D$2:$EE$2,CK$2-1,$D25:$EE25)/12)*(1+XLOOKUP(CK$2,Assumptions!$C$94:$M$94,Assumptions!$C$98:$M$98))))</f>
        <v>-5837.633342</v>
      </c>
      <c r="CL25" s="54">
        <f t="array" ref="CL25">-(IF(CL$2=1,Assumptions!$X26/12,-(SUMIF($D$2:$EE$2,CL$2-1,$D25:$EE25)/12)*(1+XLOOKUP(CL$2,Assumptions!$C$94:$M$94,Assumptions!$C$98:$M$98))))</f>
        <v>-5837.633342</v>
      </c>
      <c r="CM25" s="54">
        <f t="array" ref="CM25">-(IF(CM$2=1,Assumptions!$X26/12,-(SUMIF($D$2:$EE$2,CM$2-1,$D25:$EE25)/12)*(1+XLOOKUP(CM$2,Assumptions!$C$94:$M$94,Assumptions!$C$98:$M$98))))</f>
        <v>-5837.633342</v>
      </c>
      <c r="CN25" s="54">
        <f t="array" ref="CN25">-(IF(CN$2=1,Assumptions!$X26/12,-(SUMIF($D$2:$EE$2,CN$2-1,$D25:$EE25)/12)*(1+XLOOKUP(CN$2,Assumptions!$C$94:$M$94,Assumptions!$C$98:$M$98))))</f>
        <v>-5837.633342</v>
      </c>
      <c r="CO25" s="54">
        <f t="array" ref="CO25">-(IF(CO$2=1,Assumptions!$X26/12,-(SUMIF($D$2:$EE$2,CO$2-1,$D25:$EE25)/12)*(1+XLOOKUP(CO$2,Assumptions!$C$94:$M$94,Assumptions!$C$98:$M$98))))</f>
        <v>-5837.633342</v>
      </c>
      <c r="CP25" s="54">
        <f t="array" ref="CP25">-(IF(CP$2=1,Assumptions!$X26/12,-(SUMIF($D$2:$EE$2,CP$2-1,$D25:$EE25)/12)*(1+XLOOKUP(CP$2,Assumptions!$C$94:$M$94,Assumptions!$C$98:$M$98))))</f>
        <v>-5837.633342</v>
      </c>
      <c r="CQ25" s="54">
        <f t="array" ref="CQ25">-(IF(CQ$2=1,Assumptions!$X26/12,-(SUMIF($D$2:$EE$2,CQ$2-1,$D25:$EE25)/12)*(1+XLOOKUP(CQ$2,Assumptions!$C$94:$M$94,Assumptions!$C$98:$M$98))))</f>
        <v>-5837.633342</v>
      </c>
      <c r="CR25" s="54">
        <f t="array" ref="CR25">-(IF(CR$2=1,Assumptions!$X26/12,-(SUMIF($D$2:$EE$2,CR$2-1,$D25:$EE25)/12)*(1+XLOOKUP(CR$2,Assumptions!$C$94:$M$94,Assumptions!$C$98:$M$98))))</f>
        <v>-5837.633342</v>
      </c>
      <c r="CS25" s="54">
        <f t="array" ref="CS25">-(IF(CS$2=1,Assumptions!$X26/12,-(SUMIF($D$2:$EE$2,CS$2-1,$D25:$EE25)/12)*(1+XLOOKUP(CS$2,Assumptions!$C$94:$M$94,Assumptions!$C$98:$M$98))))</f>
        <v>-5837.633342</v>
      </c>
      <c r="CT25" s="54">
        <f t="array" ref="CT25">-(IF(CT$2=1,Assumptions!$X26/12,-(SUMIF($D$2:$EE$2,CT$2-1,$D25:$EE25)/12)*(1+XLOOKUP(CT$2,Assumptions!$C$94:$M$94,Assumptions!$C$98:$M$98))))</f>
        <v>-5837.633342</v>
      </c>
      <c r="CU25" s="54">
        <f t="array" ref="CU25">-(IF(CU$2=1,Assumptions!$X26/12,-(SUMIF($D$2:$EE$2,CU$2-1,$D25:$EE25)/12)*(1+XLOOKUP(CU$2,Assumptions!$C$94:$M$94,Assumptions!$C$98:$M$98))))</f>
        <v>-5837.633342</v>
      </c>
      <c r="CV25" s="54">
        <f t="array" ref="CV25">-(IF(CV$2=1,Assumptions!$X26/12,-(SUMIF($D$2:$EE$2,CV$2-1,$D25:$EE25)/12)*(1+XLOOKUP(CV$2,Assumptions!$C$94:$M$94,Assumptions!$C$98:$M$98))))</f>
        <v>-6012.762342</v>
      </c>
      <c r="CW25" s="54">
        <f t="array" ref="CW25">-(IF(CW$2=1,Assumptions!$X26/12,-(SUMIF($D$2:$EE$2,CW$2-1,$D25:$EE25)/12)*(1+XLOOKUP(CW$2,Assumptions!$C$94:$M$94,Assumptions!$C$98:$M$98))))</f>
        <v>-6012.762342</v>
      </c>
      <c r="CX25" s="54">
        <f t="array" ref="CX25">-(IF(CX$2=1,Assumptions!$X26/12,-(SUMIF($D$2:$EE$2,CX$2-1,$D25:$EE25)/12)*(1+XLOOKUP(CX$2,Assumptions!$C$94:$M$94,Assumptions!$C$98:$M$98))))</f>
        <v>-6012.762342</v>
      </c>
      <c r="CY25" s="54">
        <f t="array" ref="CY25">-(IF(CY$2=1,Assumptions!$X26/12,-(SUMIF($D$2:$EE$2,CY$2-1,$D25:$EE25)/12)*(1+XLOOKUP(CY$2,Assumptions!$C$94:$M$94,Assumptions!$C$98:$M$98))))</f>
        <v>-6012.762342</v>
      </c>
      <c r="CZ25" s="54">
        <f t="array" ref="CZ25">-(IF(CZ$2=1,Assumptions!$X26/12,-(SUMIF($D$2:$EE$2,CZ$2-1,$D25:$EE25)/12)*(1+XLOOKUP(CZ$2,Assumptions!$C$94:$M$94,Assumptions!$C$98:$M$98))))</f>
        <v>-6012.762342</v>
      </c>
      <c r="DA25" s="54">
        <f t="array" ref="DA25">-(IF(DA$2=1,Assumptions!$X26/12,-(SUMIF($D$2:$EE$2,DA$2-1,$D25:$EE25)/12)*(1+XLOOKUP(DA$2,Assumptions!$C$94:$M$94,Assumptions!$C$98:$M$98))))</f>
        <v>-6012.762342</v>
      </c>
      <c r="DB25" s="54">
        <f t="array" ref="DB25">-(IF(DB$2=1,Assumptions!$X26/12,-(SUMIF($D$2:$EE$2,DB$2-1,$D25:$EE25)/12)*(1+XLOOKUP(DB$2,Assumptions!$C$94:$M$94,Assumptions!$C$98:$M$98))))</f>
        <v>-6012.762342</v>
      </c>
      <c r="DC25" s="54">
        <f t="array" ref="DC25">-(IF(DC$2=1,Assumptions!$X26/12,-(SUMIF($D$2:$EE$2,DC$2-1,$D25:$EE25)/12)*(1+XLOOKUP(DC$2,Assumptions!$C$94:$M$94,Assumptions!$C$98:$M$98))))</f>
        <v>-6012.762342</v>
      </c>
      <c r="DD25" s="54">
        <f t="array" ref="DD25">-(IF(DD$2=1,Assumptions!$X26/12,-(SUMIF($D$2:$EE$2,DD$2-1,$D25:$EE25)/12)*(1+XLOOKUP(DD$2,Assumptions!$C$94:$M$94,Assumptions!$C$98:$M$98))))</f>
        <v>-6012.762342</v>
      </c>
      <c r="DE25" s="54">
        <f t="array" ref="DE25">-(IF(DE$2=1,Assumptions!$X26/12,-(SUMIF($D$2:$EE$2,DE$2-1,$D25:$EE25)/12)*(1+XLOOKUP(DE$2,Assumptions!$C$94:$M$94,Assumptions!$C$98:$M$98))))</f>
        <v>-6012.762342</v>
      </c>
      <c r="DF25" s="54">
        <f t="array" ref="DF25">-(IF(DF$2=1,Assumptions!$X26/12,-(SUMIF($D$2:$EE$2,DF$2-1,$D25:$EE25)/12)*(1+XLOOKUP(DF$2,Assumptions!$C$94:$M$94,Assumptions!$C$98:$M$98))))</f>
        <v>-6012.762342</v>
      </c>
      <c r="DG25" s="54">
        <f t="array" ref="DG25">-(IF(DG$2=1,Assumptions!$X26/12,-(SUMIF($D$2:$EE$2,DG$2-1,$D25:$EE25)/12)*(1+XLOOKUP(DG$2,Assumptions!$C$94:$M$94,Assumptions!$C$98:$M$98))))</f>
        <v>-6012.762342</v>
      </c>
      <c r="DH25" s="54">
        <f t="array" ref="DH25">-(IF(DH$2=1,Assumptions!$X26/12,-(SUMIF($D$2:$EE$2,DH$2-1,$D25:$EE25)/12)*(1+XLOOKUP(DH$2,Assumptions!$C$94:$M$94,Assumptions!$C$98:$M$98))))</f>
        <v>-6193.145212</v>
      </c>
      <c r="DI25" s="54">
        <f t="array" ref="DI25">-(IF(DI$2=1,Assumptions!$X26/12,-(SUMIF($D$2:$EE$2,DI$2-1,$D25:$EE25)/12)*(1+XLOOKUP(DI$2,Assumptions!$C$94:$M$94,Assumptions!$C$98:$M$98))))</f>
        <v>-6193.145212</v>
      </c>
      <c r="DJ25" s="54">
        <f t="array" ref="DJ25">-(IF(DJ$2=1,Assumptions!$X26/12,-(SUMIF($D$2:$EE$2,DJ$2-1,$D25:$EE25)/12)*(1+XLOOKUP(DJ$2,Assumptions!$C$94:$M$94,Assumptions!$C$98:$M$98))))</f>
        <v>-6193.145212</v>
      </c>
      <c r="DK25" s="54">
        <f t="array" ref="DK25">-(IF(DK$2=1,Assumptions!$X26/12,-(SUMIF($D$2:$EE$2,DK$2-1,$D25:$EE25)/12)*(1+XLOOKUP(DK$2,Assumptions!$C$94:$M$94,Assumptions!$C$98:$M$98))))</f>
        <v>-6193.145212</v>
      </c>
      <c r="DL25" s="54">
        <f t="array" ref="DL25">-(IF(DL$2=1,Assumptions!$X26/12,-(SUMIF($D$2:$EE$2,DL$2-1,$D25:$EE25)/12)*(1+XLOOKUP(DL$2,Assumptions!$C$94:$M$94,Assumptions!$C$98:$M$98))))</f>
        <v>-6193.145212</v>
      </c>
      <c r="DM25" s="54">
        <f t="array" ref="DM25">-(IF(DM$2=1,Assumptions!$X26/12,-(SUMIF($D$2:$EE$2,DM$2-1,$D25:$EE25)/12)*(1+XLOOKUP(DM$2,Assumptions!$C$94:$M$94,Assumptions!$C$98:$M$98))))</f>
        <v>-6193.145212</v>
      </c>
      <c r="DN25" s="54">
        <f t="array" ref="DN25">-(IF(DN$2=1,Assumptions!$X26/12,-(SUMIF($D$2:$EE$2,DN$2-1,$D25:$EE25)/12)*(1+XLOOKUP(DN$2,Assumptions!$C$94:$M$94,Assumptions!$C$98:$M$98))))</f>
        <v>-6193.145212</v>
      </c>
      <c r="DO25" s="54">
        <f t="array" ref="DO25">-(IF(DO$2=1,Assumptions!$X26/12,-(SUMIF($D$2:$EE$2,DO$2-1,$D25:$EE25)/12)*(1+XLOOKUP(DO$2,Assumptions!$C$94:$M$94,Assumptions!$C$98:$M$98))))</f>
        <v>-6193.145212</v>
      </c>
      <c r="DP25" s="54">
        <f t="array" ref="DP25">-(IF(DP$2=1,Assumptions!$X26/12,-(SUMIF($D$2:$EE$2,DP$2-1,$D25:$EE25)/12)*(1+XLOOKUP(DP$2,Assumptions!$C$94:$M$94,Assumptions!$C$98:$M$98))))</f>
        <v>-6193.145212</v>
      </c>
      <c r="DQ25" s="54">
        <f t="array" ref="DQ25">-(IF(DQ$2=1,Assumptions!$X26/12,-(SUMIF($D$2:$EE$2,DQ$2-1,$D25:$EE25)/12)*(1+XLOOKUP(DQ$2,Assumptions!$C$94:$M$94,Assumptions!$C$98:$M$98))))</f>
        <v>-6193.145212</v>
      </c>
      <c r="DR25" s="54">
        <f t="array" ref="DR25">-(IF(DR$2=1,Assumptions!$X26/12,-(SUMIF($D$2:$EE$2,DR$2-1,$D25:$EE25)/12)*(1+XLOOKUP(DR$2,Assumptions!$C$94:$M$94,Assumptions!$C$98:$M$98))))</f>
        <v>-6193.145212</v>
      </c>
      <c r="DS25" s="54">
        <f t="array" ref="DS25">-(IF(DS$2=1,Assumptions!$X26/12,-(SUMIF($D$2:$EE$2,DS$2-1,$D25:$EE25)/12)*(1+XLOOKUP(DS$2,Assumptions!$C$94:$M$94,Assumptions!$C$98:$M$98))))</f>
        <v>-6193.145212</v>
      </c>
      <c r="DT25" s="54">
        <f t="array" ref="DT25">-(IF(DT$2=1,Assumptions!$X26/12,-(SUMIF($D$2:$EE$2,DT$2-1,$D25:$EE25)/12)*(1+XLOOKUP(DT$2,Assumptions!$C$94:$M$94,Assumptions!$C$98:$M$98))))</f>
        <v>-6378.939569</v>
      </c>
      <c r="DU25" s="54">
        <f t="array" ref="DU25">-(IF(DU$2=1,Assumptions!$X26/12,-(SUMIF($D$2:$EE$2,DU$2-1,$D25:$EE25)/12)*(1+XLOOKUP(DU$2,Assumptions!$C$94:$M$94,Assumptions!$C$98:$M$98))))</f>
        <v>-6378.939569</v>
      </c>
      <c r="DV25" s="54">
        <f t="array" ref="DV25">-(IF(DV$2=1,Assumptions!$X26/12,-(SUMIF($D$2:$EE$2,DV$2-1,$D25:$EE25)/12)*(1+XLOOKUP(DV$2,Assumptions!$C$94:$M$94,Assumptions!$C$98:$M$98))))</f>
        <v>-6378.939569</v>
      </c>
      <c r="DW25" s="54">
        <f t="array" ref="DW25">-(IF(DW$2=1,Assumptions!$X26/12,-(SUMIF($D$2:$EE$2,DW$2-1,$D25:$EE25)/12)*(1+XLOOKUP(DW$2,Assumptions!$C$94:$M$94,Assumptions!$C$98:$M$98))))</f>
        <v>-6378.939569</v>
      </c>
      <c r="DX25" s="54">
        <f t="array" ref="DX25">-(IF(DX$2=1,Assumptions!$X26/12,-(SUMIF($D$2:$EE$2,DX$2-1,$D25:$EE25)/12)*(1+XLOOKUP(DX$2,Assumptions!$C$94:$M$94,Assumptions!$C$98:$M$98))))</f>
        <v>-6378.939569</v>
      </c>
      <c r="DY25" s="54">
        <f t="array" ref="DY25">-(IF(DY$2=1,Assumptions!$X26/12,-(SUMIF($D$2:$EE$2,DY$2-1,$D25:$EE25)/12)*(1+XLOOKUP(DY$2,Assumptions!$C$94:$M$94,Assumptions!$C$98:$M$98))))</f>
        <v>-6378.939569</v>
      </c>
      <c r="DZ25" s="54">
        <f t="array" ref="DZ25">-(IF(DZ$2=1,Assumptions!$X26/12,-(SUMIF($D$2:$EE$2,DZ$2-1,$D25:$EE25)/12)*(1+XLOOKUP(DZ$2,Assumptions!$C$94:$M$94,Assumptions!$C$98:$M$98))))</f>
        <v>-6378.939569</v>
      </c>
      <c r="EA25" s="54">
        <f t="array" ref="EA25">-(IF(EA$2=1,Assumptions!$X26/12,-(SUMIF($D$2:$EE$2,EA$2-1,$D25:$EE25)/12)*(1+XLOOKUP(EA$2,Assumptions!$C$94:$M$94,Assumptions!$C$98:$M$98))))</f>
        <v>-6378.939569</v>
      </c>
      <c r="EB25" s="54">
        <f t="array" ref="EB25">-(IF(EB$2=1,Assumptions!$X26/12,-(SUMIF($D$2:$EE$2,EB$2-1,$D25:$EE25)/12)*(1+XLOOKUP(EB$2,Assumptions!$C$94:$M$94,Assumptions!$C$98:$M$98))))</f>
        <v>-6378.939569</v>
      </c>
      <c r="EC25" s="54">
        <f t="array" ref="EC25">-(IF(EC$2=1,Assumptions!$X26/12,-(SUMIF($D$2:$EE$2,EC$2-1,$D25:$EE25)/12)*(1+XLOOKUP(EC$2,Assumptions!$C$94:$M$94,Assumptions!$C$98:$M$98))))</f>
        <v>-6378.939569</v>
      </c>
      <c r="ED25" s="54">
        <f t="array" ref="ED25">-(IF(ED$2=1,Assumptions!$X26/12,-(SUMIF($D$2:$EE$2,ED$2-1,$D25:$EE25)/12)*(1+XLOOKUP(ED$2,Assumptions!$C$94:$M$94,Assumptions!$C$98:$M$98))))</f>
        <v>-6378.939569</v>
      </c>
      <c r="EE25" s="54">
        <f t="array" ref="EE25">-(IF(EE$2=1,Assumptions!$X26/12,-(SUMIF($D$2:$EE$2,EE$2-1,$D25:$EE25)/12)*(1+XLOOKUP(EE$2,Assumptions!$C$94:$M$94,Assumptions!$C$98:$M$98))))</f>
        <v>-6378.939569</v>
      </c>
    </row>
    <row r="26" ht="15.75" customHeight="1">
      <c r="A26" s="1"/>
      <c r="B26" s="1"/>
      <c r="C26" s="1" t="str">
        <f>Assumptions!J27</f>
        <v>Electricity</v>
      </c>
      <c r="D26" s="54">
        <f t="array" ref="D26">-(IF(D$2=1,Assumptions!$X27/12,-(SUMIF($D$2:$EE$2,D$2-1,$D26:$EE26)/12)*(1+XLOOKUP(D$2,Assumptions!$C$94:$M$94,Assumptions!$C$98:$M$98))))</f>
        <v>-7267.8654</v>
      </c>
      <c r="E26" s="54">
        <f t="array" ref="E26">-(IF(E$2=1,Assumptions!$X27/12,-(SUMIF($D$2:$EE$2,E$2-1,$D26:$EE26)/12)*(1+XLOOKUP(E$2,Assumptions!$C$94:$M$94,Assumptions!$C$98:$M$98))))</f>
        <v>-7267.8654</v>
      </c>
      <c r="F26" s="54">
        <f t="array" ref="F26">-(IF(F$2=1,Assumptions!$X27/12,-(SUMIF($D$2:$EE$2,F$2-1,$D26:$EE26)/12)*(1+XLOOKUP(F$2,Assumptions!$C$94:$M$94,Assumptions!$C$98:$M$98))))</f>
        <v>-7267.8654</v>
      </c>
      <c r="G26" s="54">
        <f t="array" ref="G26">-(IF(G$2=1,Assumptions!$X27/12,-(SUMIF($D$2:$EE$2,G$2-1,$D26:$EE26)/12)*(1+XLOOKUP(G$2,Assumptions!$C$94:$M$94,Assumptions!$C$98:$M$98))))</f>
        <v>-7267.8654</v>
      </c>
      <c r="H26" s="54">
        <f t="array" ref="H26">-(IF(H$2=1,Assumptions!$X27/12,-(SUMIF($D$2:$EE$2,H$2-1,$D26:$EE26)/12)*(1+XLOOKUP(H$2,Assumptions!$C$94:$M$94,Assumptions!$C$98:$M$98))))</f>
        <v>-7267.8654</v>
      </c>
      <c r="I26" s="54">
        <f t="array" ref="I26">-(IF(I$2=1,Assumptions!$X27/12,-(SUMIF($D$2:$EE$2,I$2-1,$D26:$EE26)/12)*(1+XLOOKUP(I$2,Assumptions!$C$94:$M$94,Assumptions!$C$98:$M$98))))</f>
        <v>-7267.8654</v>
      </c>
      <c r="J26" s="54">
        <f t="array" ref="J26">-(IF(J$2=1,Assumptions!$X27/12,-(SUMIF($D$2:$EE$2,J$2-1,$D26:$EE26)/12)*(1+XLOOKUP(J$2,Assumptions!$C$94:$M$94,Assumptions!$C$98:$M$98))))</f>
        <v>-7267.8654</v>
      </c>
      <c r="K26" s="54">
        <f t="array" ref="K26">-(IF(K$2=1,Assumptions!$X27/12,-(SUMIF($D$2:$EE$2,K$2-1,$D26:$EE26)/12)*(1+XLOOKUP(K$2,Assumptions!$C$94:$M$94,Assumptions!$C$98:$M$98))))</f>
        <v>-7267.8654</v>
      </c>
      <c r="L26" s="54">
        <f t="array" ref="L26">-(IF(L$2=1,Assumptions!$X27/12,-(SUMIF($D$2:$EE$2,L$2-1,$D26:$EE26)/12)*(1+XLOOKUP(L$2,Assumptions!$C$94:$M$94,Assumptions!$C$98:$M$98))))</f>
        <v>-7267.8654</v>
      </c>
      <c r="M26" s="54">
        <f t="array" ref="M26">-(IF(M$2=1,Assumptions!$X27/12,-(SUMIF($D$2:$EE$2,M$2-1,$D26:$EE26)/12)*(1+XLOOKUP(M$2,Assumptions!$C$94:$M$94,Assumptions!$C$98:$M$98))))</f>
        <v>-7267.8654</v>
      </c>
      <c r="N26" s="54">
        <f t="array" ref="N26">-(IF(N$2=1,Assumptions!$X27/12,-(SUMIF($D$2:$EE$2,N$2-1,$D26:$EE26)/12)*(1+XLOOKUP(N$2,Assumptions!$C$94:$M$94,Assumptions!$C$98:$M$98))))</f>
        <v>-7267.8654</v>
      </c>
      <c r="O26" s="54">
        <f t="array" ref="O26">-(IF(O$2=1,Assumptions!$X27/12,-(SUMIF($D$2:$EE$2,O$2-1,$D26:$EE26)/12)*(1+XLOOKUP(O$2,Assumptions!$C$94:$M$94,Assumptions!$C$98:$M$98))))</f>
        <v>-7267.8654</v>
      </c>
      <c r="P26" s="54">
        <f t="array" ref="P26">-(IF(P$2=1,Assumptions!$X27/12,-(SUMIF($D$2:$EE$2,P$2-1,$D26:$EE26)/12)*(1+XLOOKUP(P$2,Assumptions!$C$94:$M$94,Assumptions!$C$98:$M$98))))</f>
        <v>-7485.901362</v>
      </c>
      <c r="Q26" s="54">
        <f t="array" ref="Q26">-(IF(Q$2=1,Assumptions!$X27/12,-(SUMIF($D$2:$EE$2,Q$2-1,$D26:$EE26)/12)*(1+XLOOKUP(Q$2,Assumptions!$C$94:$M$94,Assumptions!$C$98:$M$98))))</f>
        <v>-7485.901362</v>
      </c>
      <c r="R26" s="54">
        <f t="array" ref="R26">-(IF(R$2=1,Assumptions!$X27/12,-(SUMIF($D$2:$EE$2,R$2-1,$D26:$EE26)/12)*(1+XLOOKUP(R$2,Assumptions!$C$94:$M$94,Assumptions!$C$98:$M$98))))</f>
        <v>-7485.901362</v>
      </c>
      <c r="S26" s="54">
        <f t="array" ref="S26">-(IF(S$2=1,Assumptions!$X27/12,-(SUMIF($D$2:$EE$2,S$2-1,$D26:$EE26)/12)*(1+XLOOKUP(S$2,Assumptions!$C$94:$M$94,Assumptions!$C$98:$M$98))))</f>
        <v>-7485.901362</v>
      </c>
      <c r="T26" s="54">
        <f t="array" ref="T26">-(IF(T$2=1,Assumptions!$X27/12,-(SUMIF($D$2:$EE$2,T$2-1,$D26:$EE26)/12)*(1+XLOOKUP(T$2,Assumptions!$C$94:$M$94,Assumptions!$C$98:$M$98))))</f>
        <v>-7485.901362</v>
      </c>
      <c r="U26" s="54">
        <f t="array" ref="U26">-(IF(U$2=1,Assumptions!$X27/12,-(SUMIF($D$2:$EE$2,U$2-1,$D26:$EE26)/12)*(1+XLOOKUP(U$2,Assumptions!$C$94:$M$94,Assumptions!$C$98:$M$98))))</f>
        <v>-7485.901362</v>
      </c>
      <c r="V26" s="54">
        <f t="array" ref="V26">-(IF(V$2=1,Assumptions!$X27/12,-(SUMIF($D$2:$EE$2,V$2-1,$D26:$EE26)/12)*(1+XLOOKUP(V$2,Assumptions!$C$94:$M$94,Assumptions!$C$98:$M$98))))</f>
        <v>-7485.901362</v>
      </c>
      <c r="W26" s="54">
        <f t="array" ref="W26">-(IF(W$2=1,Assumptions!$X27/12,-(SUMIF($D$2:$EE$2,W$2-1,$D26:$EE26)/12)*(1+XLOOKUP(W$2,Assumptions!$C$94:$M$94,Assumptions!$C$98:$M$98))))</f>
        <v>-7485.901362</v>
      </c>
      <c r="X26" s="54">
        <f t="array" ref="X26">-(IF(X$2=1,Assumptions!$X27/12,-(SUMIF($D$2:$EE$2,X$2-1,$D26:$EE26)/12)*(1+XLOOKUP(X$2,Assumptions!$C$94:$M$94,Assumptions!$C$98:$M$98))))</f>
        <v>-7485.901362</v>
      </c>
      <c r="Y26" s="54">
        <f t="array" ref="Y26">-(IF(Y$2=1,Assumptions!$X27/12,-(SUMIF($D$2:$EE$2,Y$2-1,$D26:$EE26)/12)*(1+XLOOKUP(Y$2,Assumptions!$C$94:$M$94,Assumptions!$C$98:$M$98))))</f>
        <v>-7485.901362</v>
      </c>
      <c r="Z26" s="54">
        <f t="array" ref="Z26">-(IF(Z$2=1,Assumptions!$X27/12,-(SUMIF($D$2:$EE$2,Z$2-1,$D26:$EE26)/12)*(1+XLOOKUP(Z$2,Assumptions!$C$94:$M$94,Assumptions!$C$98:$M$98))))</f>
        <v>-7485.901362</v>
      </c>
      <c r="AA26" s="54">
        <f t="array" ref="AA26">-(IF(AA$2=1,Assumptions!$X27/12,-(SUMIF($D$2:$EE$2,AA$2-1,$D26:$EE26)/12)*(1+XLOOKUP(AA$2,Assumptions!$C$94:$M$94,Assumptions!$C$98:$M$98))))</f>
        <v>-7485.901362</v>
      </c>
      <c r="AB26" s="54">
        <f t="array" ref="AB26">-(IF(AB$2=1,Assumptions!$X27/12,-(SUMIF($D$2:$EE$2,AB$2-1,$D26:$EE26)/12)*(1+XLOOKUP(AB$2,Assumptions!$C$94:$M$94,Assumptions!$C$98:$M$98))))</f>
        <v>-7710.478403</v>
      </c>
      <c r="AC26" s="54">
        <f t="array" ref="AC26">-(IF(AC$2=1,Assumptions!$X27/12,-(SUMIF($D$2:$EE$2,AC$2-1,$D26:$EE26)/12)*(1+XLOOKUP(AC$2,Assumptions!$C$94:$M$94,Assumptions!$C$98:$M$98))))</f>
        <v>-7710.478403</v>
      </c>
      <c r="AD26" s="54">
        <f t="array" ref="AD26">-(IF(AD$2=1,Assumptions!$X27/12,-(SUMIF($D$2:$EE$2,AD$2-1,$D26:$EE26)/12)*(1+XLOOKUP(AD$2,Assumptions!$C$94:$M$94,Assumptions!$C$98:$M$98))))</f>
        <v>-7710.478403</v>
      </c>
      <c r="AE26" s="54">
        <f t="array" ref="AE26">-(IF(AE$2=1,Assumptions!$X27/12,-(SUMIF($D$2:$EE$2,AE$2-1,$D26:$EE26)/12)*(1+XLOOKUP(AE$2,Assumptions!$C$94:$M$94,Assumptions!$C$98:$M$98))))</f>
        <v>-7710.478403</v>
      </c>
      <c r="AF26" s="54">
        <f t="array" ref="AF26">-(IF(AF$2=1,Assumptions!$X27/12,-(SUMIF($D$2:$EE$2,AF$2-1,$D26:$EE26)/12)*(1+XLOOKUP(AF$2,Assumptions!$C$94:$M$94,Assumptions!$C$98:$M$98))))</f>
        <v>-7710.478403</v>
      </c>
      <c r="AG26" s="54">
        <f t="array" ref="AG26">-(IF(AG$2=1,Assumptions!$X27/12,-(SUMIF($D$2:$EE$2,AG$2-1,$D26:$EE26)/12)*(1+XLOOKUP(AG$2,Assumptions!$C$94:$M$94,Assumptions!$C$98:$M$98))))</f>
        <v>-7710.478403</v>
      </c>
      <c r="AH26" s="54">
        <f t="array" ref="AH26">-(IF(AH$2=1,Assumptions!$X27/12,-(SUMIF($D$2:$EE$2,AH$2-1,$D26:$EE26)/12)*(1+XLOOKUP(AH$2,Assumptions!$C$94:$M$94,Assumptions!$C$98:$M$98))))</f>
        <v>-7710.478403</v>
      </c>
      <c r="AI26" s="54">
        <f t="array" ref="AI26">-(IF(AI$2=1,Assumptions!$X27/12,-(SUMIF($D$2:$EE$2,AI$2-1,$D26:$EE26)/12)*(1+XLOOKUP(AI$2,Assumptions!$C$94:$M$94,Assumptions!$C$98:$M$98))))</f>
        <v>-7710.478403</v>
      </c>
      <c r="AJ26" s="54">
        <f t="array" ref="AJ26">-(IF(AJ$2=1,Assumptions!$X27/12,-(SUMIF($D$2:$EE$2,AJ$2-1,$D26:$EE26)/12)*(1+XLOOKUP(AJ$2,Assumptions!$C$94:$M$94,Assumptions!$C$98:$M$98))))</f>
        <v>-7710.478403</v>
      </c>
      <c r="AK26" s="54">
        <f t="array" ref="AK26">-(IF(AK$2=1,Assumptions!$X27/12,-(SUMIF($D$2:$EE$2,AK$2-1,$D26:$EE26)/12)*(1+XLOOKUP(AK$2,Assumptions!$C$94:$M$94,Assumptions!$C$98:$M$98))))</f>
        <v>-7710.478403</v>
      </c>
      <c r="AL26" s="54">
        <f t="array" ref="AL26">-(IF(AL$2=1,Assumptions!$X27/12,-(SUMIF($D$2:$EE$2,AL$2-1,$D26:$EE26)/12)*(1+XLOOKUP(AL$2,Assumptions!$C$94:$M$94,Assumptions!$C$98:$M$98))))</f>
        <v>-7710.478403</v>
      </c>
      <c r="AM26" s="54">
        <f t="array" ref="AM26">-(IF(AM$2=1,Assumptions!$X27/12,-(SUMIF($D$2:$EE$2,AM$2-1,$D26:$EE26)/12)*(1+XLOOKUP(AM$2,Assumptions!$C$94:$M$94,Assumptions!$C$98:$M$98))))</f>
        <v>-7710.478403</v>
      </c>
      <c r="AN26" s="54">
        <f t="array" ref="AN26">-(IF(AN$2=1,Assumptions!$X27/12,-(SUMIF($D$2:$EE$2,AN$2-1,$D26:$EE26)/12)*(1+XLOOKUP(AN$2,Assumptions!$C$94:$M$94,Assumptions!$C$98:$M$98))))</f>
        <v>-7941.792755</v>
      </c>
      <c r="AO26" s="54">
        <f t="array" ref="AO26">-(IF(AO$2=1,Assumptions!$X27/12,-(SUMIF($D$2:$EE$2,AO$2-1,$D26:$EE26)/12)*(1+XLOOKUP(AO$2,Assumptions!$C$94:$M$94,Assumptions!$C$98:$M$98))))</f>
        <v>-7941.792755</v>
      </c>
      <c r="AP26" s="54">
        <f t="array" ref="AP26">-(IF(AP$2=1,Assumptions!$X27/12,-(SUMIF($D$2:$EE$2,AP$2-1,$D26:$EE26)/12)*(1+XLOOKUP(AP$2,Assumptions!$C$94:$M$94,Assumptions!$C$98:$M$98))))</f>
        <v>-7941.792755</v>
      </c>
      <c r="AQ26" s="54">
        <f t="array" ref="AQ26">-(IF(AQ$2=1,Assumptions!$X27/12,-(SUMIF($D$2:$EE$2,AQ$2-1,$D26:$EE26)/12)*(1+XLOOKUP(AQ$2,Assumptions!$C$94:$M$94,Assumptions!$C$98:$M$98))))</f>
        <v>-7941.792755</v>
      </c>
      <c r="AR26" s="54">
        <f t="array" ref="AR26">-(IF(AR$2=1,Assumptions!$X27/12,-(SUMIF($D$2:$EE$2,AR$2-1,$D26:$EE26)/12)*(1+XLOOKUP(AR$2,Assumptions!$C$94:$M$94,Assumptions!$C$98:$M$98))))</f>
        <v>-7941.792755</v>
      </c>
      <c r="AS26" s="54">
        <f t="array" ref="AS26">-(IF(AS$2=1,Assumptions!$X27/12,-(SUMIF($D$2:$EE$2,AS$2-1,$D26:$EE26)/12)*(1+XLOOKUP(AS$2,Assumptions!$C$94:$M$94,Assumptions!$C$98:$M$98))))</f>
        <v>-7941.792755</v>
      </c>
      <c r="AT26" s="54">
        <f t="array" ref="AT26">-(IF(AT$2=1,Assumptions!$X27/12,-(SUMIF($D$2:$EE$2,AT$2-1,$D26:$EE26)/12)*(1+XLOOKUP(AT$2,Assumptions!$C$94:$M$94,Assumptions!$C$98:$M$98))))</f>
        <v>-7941.792755</v>
      </c>
      <c r="AU26" s="54">
        <f t="array" ref="AU26">-(IF(AU$2=1,Assumptions!$X27/12,-(SUMIF($D$2:$EE$2,AU$2-1,$D26:$EE26)/12)*(1+XLOOKUP(AU$2,Assumptions!$C$94:$M$94,Assumptions!$C$98:$M$98))))</f>
        <v>-7941.792755</v>
      </c>
      <c r="AV26" s="54">
        <f t="array" ref="AV26">-(IF(AV$2=1,Assumptions!$X27/12,-(SUMIF($D$2:$EE$2,AV$2-1,$D26:$EE26)/12)*(1+XLOOKUP(AV$2,Assumptions!$C$94:$M$94,Assumptions!$C$98:$M$98))))</f>
        <v>-7941.792755</v>
      </c>
      <c r="AW26" s="54">
        <f t="array" ref="AW26">-(IF(AW$2=1,Assumptions!$X27/12,-(SUMIF($D$2:$EE$2,AW$2-1,$D26:$EE26)/12)*(1+XLOOKUP(AW$2,Assumptions!$C$94:$M$94,Assumptions!$C$98:$M$98))))</f>
        <v>-7941.792755</v>
      </c>
      <c r="AX26" s="54">
        <f t="array" ref="AX26">-(IF(AX$2=1,Assumptions!$X27/12,-(SUMIF($D$2:$EE$2,AX$2-1,$D26:$EE26)/12)*(1+XLOOKUP(AX$2,Assumptions!$C$94:$M$94,Assumptions!$C$98:$M$98))))</f>
        <v>-7941.792755</v>
      </c>
      <c r="AY26" s="54">
        <f t="array" ref="AY26">-(IF(AY$2=1,Assumptions!$X27/12,-(SUMIF($D$2:$EE$2,AY$2-1,$D26:$EE26)/12)*(1+XLOOKUP(AY$2,Assumptions!$C$94:$M$94,Assumptions!$C$98:$M$98))))</f>
        <v>-7941.792755</v>
      </c>
      <c r="AZ26" s="54">
        <f t="array" ref="AZ26">-(IF(AZ$2=1,Assumptions!$X27/12,-(SUMIF($D$2:$EE$2,AZ$2-1,$D26:$EE26)/12)*(1+XLOOKUP(AZ$2,Assumptions!$C$94:$M$94,Assumptions!$C$98:$M$98))))</f>
        <v>-8180.046538</v>
      </c>
      <c r="BA26" s="54">
        <f t="array" ref="BA26">-(IF(BA$2=1,Assumptions!$X27/12,-(SUMIF($D$2:$EE$2,BA$2-1,$D26:$EE26)/12)*(1+XLOOKUP(BA$2,Assumptions!$C$94:$M$94,Assumptions!$C$98:$M$98))))</f>
        <v>-8180.046538</v>
      </c>
      <c r="BB26" s="54">
        <f t="array" ref="BB26">-(IF(BB$2=1,Assumptions!$X27/12,-(SUMIF($D$2:$EE$2,BB$2-1,$D26:$EE26)/12)*(1+XLOOKUP(BB$2,Assumptions!$C$94:$M$94,Assumptions!$C$98:$M$98))))</f>
        <v>-8180.046538</v>
      </c>
      <c r="BC26" s="54">
        <f t="array" ref="BC26">-(IF(BC$2=1,Assumptions!$X27/12,-(SUMIF($D$2:$EE$2,BC$2-1,$D26:$EE26)/12)*(1+XLOOKUP(BC$2,Assumptions!$C$94:$M$94,Assumptions!$C$98:$M$98))))</f>
        <v>-8180.046538</v>
      </c>
      <c r="BD26" s="54">
        <f t="array" ref="BD26">-(IF(BD$2=1,Assumptions!$X27/12,-(SUMIF($D$2:$EE$2,BD$2-1,$D26:$EE26)/12)*(1+XLOOKUP(BD$2,Assumptions!$C$94:$M$94,Assumptions!$C$98:$M$98))))</f>
        <v>-8180.046538</v>
      </c>
      <c r="BE26" s="54">
        <f t="array" ref="BE26">-(IF(BE$2=1,Assumptions!$X27/12,-(SUMIF($D$2:$EE$2,BE$2-1,$D26:$EE26)/12)*(1+XLOOKUP(BE$2,Assumptions!$C$94:$M$94,Assumptions!$C$98:$M$98))))</f>
        <v>-8180.046538</v>
      </c>
      <c r="BF26" s="54">
        <f t="array" ref="BF26">-(IF(BF$2=1,Assumptions!$X27/12,-(SUMIF($D$2:$EE$2,BF$2-1,$D26:$EE26)/12)*(1+XLOOKUP(BF$2,Assumptions!$C$94:$M$94,Assumptions!$C$98:$M$98))))</f>
        <v>-8180.046538</v>
      </c>
      <c r="BG26" s="54">
        <f t="array" ref="BG26">-(IF(BG$2=1,Assumptions!$X27/12,-(SUMIF($D$2:$EE$2,BG$2-1,$D26:$EE26)/12)*(1+XLOOKUP(BG$2,Assumptions!$C$94:$M$94,Assumptions!$C$98:$M$98))))</f>
        <v>-8180.046538</v>
      </c>
      <c r="BH26" s="54">
        <f t="array" ref="BH26">-(IF(BH$2=1,Assumptions!$X27/12,-(SUMIF($D$2:$EE$2,BH$2-1,$D26:$EE26)/12)*(1+XLOOKUP(BH$2,Assumptions!$C$94:$M$94,Assumptions!$C$98:$M$98))))</f>
        <v>-8180.046538</v>
      </c>
      <c r="BI26" s="54">
        <f t="array" ref="BI26">-(IF(BI$2=1,Assumptions!$X27/12,-(SUMIF($D$2:$EE$2,BI$2-1,$D26:$EE26)/12)*(1+XLOOKUP(BI$2,Assumptions!$C$94:$M$94,Assumptions!$C$98:$M$98))))</f>
        <v>-8180.046538</v>
      </c>
      <c r="BJ26" s="54">
        <f t="array" ref="BJ26">-(IF(BJ$2=1,Assumptions!$X27/12,-(SUMIF($D$2:$EE$2,BJ$2-1,$D26:$EE26)/12)*(1+XLOOKUP(BJ$2,Assumptions!$C$94:$M$94,Assumptions!$C$98:$M$98))))</f>
        <v>-8180.046538</v>
      </c>
      <c r="BK26" s="54">
        <f t="array" ref="BK26">-(IF(BK$2=1,Assumptions!$X27/12,-(SUMIF($D$2:$EE$2,BK$2-1,$D26:$EE26)/12)*(1+XLOOKUP(BK$2,Assumptions!$C$94:$M$94,Assumptions!$C$98:$M$98))))</f>
        <v>-8180.046538</v>
      </c>
      <c r="BL26" s="54">
        <f t="array" ref="BL26">-(IF(BL$2=1,Assumptions!$X27/12,-(SUMIF($D$2:$EE$2,BL$2-1,$D26:$EE26)/12)*(1+XLOOKUP(BL$2,Assumptions!$C$94:$M$94,Assumptions!$C$98:$M$98))))</f>
        <v>-8425.447934</v>
      </c>
      <c r="BM26" s="54">
        <f t="array" ref="BM26">-(IF(BM$2=1,Assumptions!$X27/12,-(SUMIF($D$2:$EE$2,BM$2-1,$D26:$EE26)/12)*(1+XLOOKUP(BM$2,Assumptions!$C$94:$M$94,Assumptions!$C$98:$M$98))))</f>
        <v>-8425.447934</v>
      </c>
      <c r="BN26" s="54">
        <f t="array" ref="BN26">-(IF(BN$2=1,Assumptions!$X27/12,-(SUMIF($D$2:$EE$2,BN$2-1,$D26:$EE26)/12)*(1+XLOOKUP(BN$2,Assumptions!$C$94:$M$94,Assumptions!$C$98:$M$98))))</f>
        <v>-8425.447934</v>
      </c>
      <c r="BO26" s="54">
        <f t="array" ref="BO26">-(IF(BO$2=1,Assumptions!$X27/12,-(SUMIF($D$2:$EE$2,BO$2-1,$D26:$EE26)/12)*(1+XLOOKUP(BO$2,Assumptions!$C$94:$M$94,Assumptions!$C$98:$M$98))))</f>
        <v>-8425.447934</v>
      </c>
      <c r="BP26" s="54">
        <f t="array" ref="BP26">-(IF(BP$2=1,Assumptions!$X27/12,-(SUMIF($D$2:$EE$2,BP$2-1,$D26:$EE26)/12)*(1+XLOOKUP(BP$2,Assumptions!$C$94:$M$94,Assumptions!$C$98:$M$98))))</f>
        <v>-8425.447934</v>
      </c>
      <c r="BQ26" s="54">
        <f t="array" ref="BQ26">-(IF(BQ$2=1,Assumptions!$X27/12,-(SUMIF($D$2:$EE$2,BQ$2-1,$D26:$EE26)/12)*(1+XLOOKUP(BQ$2,Assumptions!$C$94:$M$94,Assumptions!$C$98:$M$98))))</f>
        <v>-8425.447934</v>
      </c>
      <c r="BR26" s="54">
        <f t="array" ref="BR26">-(IF(BR$2=1,Assumptions!$X27/12,-(SUMIF($D$2:$EE$2,BR$2-1,$D26:$EE26)/12)*(1+XLOOKUP(BR$2,Assumptions!$C$94:$M$94,Assumptions!$C$98:$M$98))))</f>
        <v>-8425.447934</v>
      </c>
      <c r="BS26" s="54">
        <f t="array" ref="BS26">-(IF(BS$2=1,Assumptions!$X27/12,-(SUMIF($D$2:$EE$2,BS$2-1,$D26:$EE26)/12)*(1+XLOOKUP(BS$2,Assumptions!$C$94:$M$94,Assumptions!$C$98:$M$98))))</f>
        <v>-8425.447934</v>
      </c>
      <c r="BT26" s="54">
        <f t="array" ref="BT26">-(IF(BT$2=1,Assumptions!$X27/12,-(SUMIF($D$2:$EE$2,BT$2-1,$D26:$EE26)/12)*(1+XLOOKUP(BT$2,Assumptions!$C$94:$M$94,Assumptions!$C$98:$M$98))))</f>
        <v>-8425.447934</v>
      </c>
      <c r="BU26" s="54">
        <f t="array" ref="BU26">-(IF(BU$2=1,Assumptions!$X27/12,-(SUMIF($D$2:$EE$2,BU$2-1,$D26:$EE26)/12)*(1+XLOOKUP(BU$2,Assumptions!$C$94:$M$94,Assumptions!$C$98:$M$98))))</f>
        <v>-8425.447934</v>
      </c>
      <c r="BV26" s="54">
        <f t="array" ref="BV26">-(IF(BV$2=1,Assumptions!$X27/12,-(SUMIF($D$2:$EE$2,BV$2-1,$D26:$EE26)/12)*(1+XLOOKUP(BV$2,Assumptions!$C$94:$M$94,Assumptions!$C$98:$M$98))))</f>
        <v>-8425.447934</v>
      </c>
      <c r="BW26" s="54">
        <f t="array" ref="BW26">-(IF(BW$2=1,Assumptions!$X27/12,-(SUMIF($D$2:$EE$2,BW$2-1,$D26:$EE26)/12)*(1+XLOOKUP(BW$2,Assumptions!$C$94:$M$94,Assumptions!$C$98:$M$98))))</f>
        <v>-8425.447934</v>
      </c>
      <c r="BX26" s="54">
        <f t="array" ref="BX26">-(IF(BX$2=1,Assumptions!$X27/12,-(SUMIF($D$2:$EE$2,BX$2-1,$D26:$EE26)/12)*(1+XLOOKUP(BX$2,Assumptions!$C$94:$M$94,Assumptions!$C$98:$M$98))))</f>
        <v>-8678.211372</v>
      </c>
      <c r="BY26" s="54">
        <f t="array" ref="BY26">-(IF(BY$2=1,Assumptions!$X27/12,-(SUMIF($D$2:$EE$2,BY$2-1,$D26:$EE26)/12)*(1+XLOOKUP(BY$2,Assumptions!$C$94:$M$94,Assumptions!$C$98:$M$98))))</f>
        <v>-8678.211372</v>
      </c>
      <c r="BZ26" s="54">
        <f t="array" ref="BZ26">-(IF(BZ$2=1,Assumptions!$X27/12,-(SUMIF($D$2:$EE$2,BZ$2-1,$D26:$EE26)/12)*(1+XLOOKUP(BZ$2,Assumptions!$C$94:$M$94,Assumptions!$C$98:$M$98))))</f>
        <v>-8678.211372</v>
      </c>
      <c r="CA26" s="54">
        <f t="array" ref="CA26">-(IF(CA$2=1,Assumptions!$X27/12,-(SUMIF($D$2:$EE$2,CA$2-1,$D26:$EE26)/12)*(1+XLOOKUP(CA$2,Assumptions!$C$94:$M$94,Assumptions!$C$98:$M$98))))</f>
        <v>-8678.211372</v>
      </c>
      <c r="CB26" s="54">
        <f t="array" ref="CB26">-(IF(CB$2=1,Assumptions!$X27/12,-(SUMIF($D$2:$EE$2,CB$2-1,$D26:$EE26)/12)*(1+XLOOKUP(CB$2,Assumptions!$C$94:$M$94,Assumptions!$C$98:$M$98))))</f>
        <v>-8678.211372</v>
      </c>
      <c r="CC26" s="54">
        <f t="array" ref="CC26">-(IF(CC$2=1,Assumptions!$X27/12,-(SUMIF($D$2:$EE$2,CC$2-1,$D26:$EE26)/12)*(1+XLOOKUP(CC$2,Assumptions!$C$94:$M$94,Assumptions!$C$98:$M$98))))</f>
        <v>-8678.211372</v>
      </c>
      <c r="CD26" s="54">
        <f t="array" ref="CD26">-(IF(CD$2=1,Assumptions!$X27/12,-(SUMIF($D$2:$EE$2,CD$2-1,$D26:$EE26)/12)*(1+XLOOKUP(CD$2,Assumptions!$C$94:$M$94,Assumptions!$C$98:$M$98))))</f>
        <v>-8678.211372</v>
      </c>
      <c r="CE26" s="54">
        <f t="array" ref="CE26">-(IF(CE$2=1,Assumptions!$X27/12,-(SUMIF($D$2:$EE$2,CE$2-1,$D26:$EE26)/12)*(1+XLOOKUP(CE$2,Assumptions!$C$94:$M$94,Assumptions!$C$98:$M$98))))</f>
        <v>-8678.211372</v>
      </c>
      <c r="CF26" s="54">
        <f t="array" ref="CF26">-(IF(CF$2=1,Assumptions!$X27/12,-(SUMIF($D$2:$EE$2,CF$2-1,$D26:$EE26)/12)*(1+XLOOKUP(CF$2,Assumptions!$C$94:$M$94,Assumptions!$C$98:$M$98))))</f>
        <v>-8678.211372</v>
      </c>
      <c r="CG26" s="54">
        <f t="array" ref="CG26">-(IF(CG$2=1,Assumptions!$X27/12,-(SUMIF($D$2:$EE$2,CG$2-1,$D26:$EE26)/12)*(1+XLOOKUP(CG$2,Assumptions!$C$94:$M$94,Assumptions!$C$98:$M$98))))</f>
        <v>-8678.211372</v>
      </c>
      <c r="CH26" s="54">
        <f t="array" ref="CH26">-(IF(CH$2=1,Assumptions!$X27/12,-(SUMIF($D$2:$EE$2,CH$2-1,$D26:$EE26)/12)*(1+XLOOKUP(CH$2,Assumptions!$C$94:$M$94,Assumptions!$C$98:$M$98))))</f>
        <v>-8678.211372</v>
      </c>
      <c r="CI26" s="54">
        <f t="array" ref="CI26">-(IF(CI$2=1,Assumptions!$X27/12,-(SUMIF($D$2:$EE$2,CI$2-1,$D26:$EE26)/12)*(1+XLOOKUP(CI$2,Assumptions!$C$94:$M$94,Assumptions!$C$98:$M$98))))</f>
        <v>-8678.211372</v>
      </c>
      <c r="CJ26" s="54">
        <f t="array" ref="CJ26">-(IF(CJ$2=1,Assumptions!$X27/12,-(SUMIF($D$2:$EE$2,CJ$2-1,$D26:$EE26)/12)*(1+XLOOKUP(CJ$2,Assumptions!$C$94:$M$94,Assumptions!$C$98:$M$98))))</f>
        <v>-8938.557713</v>
      </c>
      <c r="CK26" s="54">
        <f t="array" ref="CK26">-(IF(CK$2=1,Assumptions!$X27/12,-(SUMIF($D$2:$EE$2,CK$2-1,$D26:$EE26)/12)*(1+XLOOKUP(CK$2,Assumptions!$C$94:$M$94,Assumptions!$C$98:$M$98))))</f>
        <v>-8938.557713</v>
      </c>
      <c r="CL26" s="54">
        <f t="array" ref="CL26">-(IF(CL$2=1,Assumptions!$X27/12,-(SUMIF($D$2:$EE$2,CL$2-1,$D26:$EE26)/12)*(1+XLOOKUP(CL$2,Assumptions!$C$94:$M$94,Assumptions!$C$98:$M$98))))</f>
        <v>-8938.557713</v>
      </c>
      <c r="CM26" s="54">
        <f t="array" ref="CM26">-(IF(CM$2=1,Assumptions!$X27/12,-(SUMIF($D$2:$EE$2,CM$2-1,$D26:$EE26)/12)*(1+XLOOKUP(CM$2,Assumptions!$C$94:$M$94,Assumptions!$C$98:$M$98))))</f>
        <v>-8938.557713</v>
      </c>
      <c r="CN26" s="54">
        <f t="array" ref="CN26">-(IF(CN$2=1,Assumptions!$X27/12,-(SUMIF($D$2:$EE$2,CN$2-1,$D26:$EE26)/12)*(1+XLOOKUP(CN$2,Assumptions!$C$94:$M$94,Assumptions!$C$98:$M$98))))</f>
        <v>-8938.557713</v>
      </c>
      <c r="CO26" s="54">
        <f t="array" ref="CO26">-(IF(CO$2=1,Assumptions!$X27/12,-(SUMIF($D$2:$EE$2,CO$2-1,$D26:$EE26)/12)*(1+XLOOKUP(CO$2,Assumptions!$C$94:$M$94,Assumptions!$C$98:$M$98))))</f>
        <v>-8938.557713</v>
      </c>
      <c r="CP26" s="54">
        <f t="array" ref="CP26">-(IF(CP$2=1,Assumptions!$X27/12,-(SUMIF($D$2:$EE$2,CP$2-1,$D26:$EE26)/12)*(1+XLOOKUP(CP$2,Assumptions!$C$94:$M$94,Assumptions!$C$98:$M$98))))</f>
        <v>-8938.557713</v>
      </c>
      <c r="CQ26" s="54">
        <f t="array" ref="CQ26">-(IF(CQ$2=1,Assumptions!$X27/12,-(SUMIF($D$2:$EE$2,CQ$2-1,$D26:$EE26)/12)*(1+XLOOKUP(CQ$2,Assumptions!$C$94:$M$94,Assumptions!$C$98:$M$98))))</f>
        <v>-8938.557713</v>
      </c>
      <c r="CR26" s="54">
        <f t="array" ref="CR26">-(IF(CR$2=1,Assumptions!$X27/12,-(SUMIF($D$2:$EE$2,CR$2-1,$D26:$EE26)/12)*(1+XLOOKUP(CR$2,Assumptions!$C$94:$M$94,Assumptions!$C$98:$M$98))))</f>
        <v>-8938.557713</v>
      </c>
      <c r="CS26" s="54">
        <f t="array" ref="CS26">-(IF(CS$2=1,Assumptions!$X27/12,-(SUMIF($D$2:$EE$2,CS$2-1,$D26:$EE26)/12)*(1+XLOOKUP(CS$2,Assumptions!$C$94:$M$94,Assumptions!$C$98:$M$98))))</f>
        <v>-8938.557713</v>
      </c>
      <c r="CT26" s="54">
        <f t="array" ref="CT26">-(IF(CT$2=1,Assumptions!$X27/12,-(SUMIF($D$2:$EE$2,CT$2-1,$D26:$EE26)/12)*(1+XLOOKUP(CT$2,Assumptions!$C$94:$M$94,Assumptions!$C$98:$M$98))))</f>
        <v>-8938.557713</v>
      </c>
      <c r="CU26" s="54">
        <f t="array" ref="CU26">-(IF(CU$2=1,Assumptions!$X27/12,-(SUMIF($D$2:$EE$2,CU$2-1,$D26:$EE26)/12)*(1+XLOOKUP(CU$2,Assumptions!$C$94:$M$94,Assumptions!$C$98:$M$98))))</f>
        <v>-8938.557713</v>
      </c>
      <c r="CV26" s="54">
        <f t="array" ref="CV26">-(IF(CV$2=1,Assumptions!$X27/12,-(SUMIF($D$2:$EE$2,CV$2-1,$D26:$EE26)/12)*(1+XLOOKUP(CV$2,Assumptions!$C$94:$M$94,Assumptions!$C$98:$M$98))))</f>
        <v>-9206.714444</v>
      </c>
      <c r="CW26" s="54">
        <f t="array" ref="CW26">-(IF(CW$2=1,Assumptions!$X27/12,-(SUMIF($D$2:$EE$2,CW$2-1,$D26:$EE26)/12)*(1+XLOOKUP(CW$2,Assumptions!$C$94:$M$94,Assumptions!$C$98:$M$98))))</f>
        <v>-9206.714444</v>
      </c>
      <c r="CX26" s="54">
        <f t="array" ref="CX26">-(IF(CX$2=1,Assumptions!$X27/12,-(SUMIF($D$2:$EE$2,CX$2-1,$D26:$EE26)/12)*(1+XLOOKUP(CX$2,Assumptions!$C$94:$M$94,Assumptions!$C$98:$M$98))))</f>
        <v>-9206.714444</v>
      </c>
      <c r="CY26" s="54">
        <f t="array" ref="CY26">-(IF(CY$2=1,Assumptions!$X27/12,-(SUMIF($D$2:$EE$2,CY$2-1,$D26:$EE26)/12)*(1+XLOOKUP(CY$2,Assumptions!$C$94:$M$94,Assumptions!$C$98:$M$98))))</f>
        <v>-9206.714444</v>
      </c>
      <c r="CZ26" s="54">
        <f t="array" ref="CZ26">-(IF(CZ$2=1,Assumptions!$X27/12,-(SUMIF($D$2:$EE$2,CZ$2-1,$D26:$EE26)/12)*(1+XLOOKUP(CZ$2,Assumptions!$C$94:$M$94,Assumptions!$C$98:$M$98))))</f>
        <v>-9206.714444</v>
      </c>
      <c r="DA26" s="54">
        <f t="array" ref="DA26">-(IF(DA$2=1,Assumptions!$X27/12,-(SUMIF($D$2:$EE$2,DA$2-1,$D26:$EE26)/12)*(1+XLOOKUP(DA$2,Assumptions!$C$94:$M$94,Assumptions!$C$98:$M$98))))</f>
        <v>-9206.714444</v>
      </c>
      <c r="DB26" s="54">
        <f t="array" ref="DB26">-(IF(DB$2=1,Assumptions!$X27/12,-(SUMIF($D$2:$EE$2,DB$2-1,$D26:$EE26)/12)*(1+XLOOKUP(DB$2,Assumptions!$C$94:$M$94,Assumptions!$C$98:$M$98))))</f>
        <v>-9206.714444</v>
      </c>
      <c r="DC26" s="54">
        <f t="array" ref="DC26">-(IF(DC$2=1,Assumptions!$X27/12,-(SUMIF($D$2:$EE$2,DC$2-1,$D26:$EE26)/12)*(1+XLOOKUP(DC$2,Assumptions!$C$94:$M$94,Assumptions!$C$98:$M$98))))</f>
        <v>-9206.714444</v>
      </c>
      <c r="DD26" s="54">
        <f t="array" ref="DD26">-(IF(DD$2=1,Assumptions!$X27/12,-(SUMIF($D$2:$EE$2,DD$2-1,$D26:$EE26)/12)*(1+XLOOKUP(DD$2,Assumptions!$C$94:$M$94,Assumptions!$C$98:$M$98))))</f>
        <v>-9206.714444</v>
      </c>
      <c r="DE26" s="54">
        <f t="array" ref="DE26">-(IF(DE$2=1,Assumptions!$X27/12,-(SUMIF($D$2:$EE$2,DE$2-1,$D26:$EE26)/12)*(1+XLOOKUP(DE$2,Assumptions!$C$94:$M$94,Assumptions!$C$98:$M$98))))</f>
        <v>-9206.714444</v>
      </c>
      <c r="DF26" s="54">
        <f t="array" ref="DF26">-(IF(DF$2=1,Assumptions!$X27/12,-(SUMIF($D$2:$EE$2,DF$2-1,$D26:$EE26)/12)*(1+XLOOKUP(DF$2,Assumptions!$C$94:$M$94,Assumptions!$C$98:$M$98))))</f>
        <v>-9206.714444</v>
      </c>
      <c r="DG26" s="54">
        <f t="array" ref="DG26">-(IF(DG$2=1,Assumptions!$X27/12,-(SUMIF($D$2:$EE$2,DG$2-1,$D26:$EE26)/12)*(1+XLOOKUP(DG$2,Assumptions!$C$94:$M$94,Assumptions!$C$98:$M$98))))</f>
        <v>-9206.714444</v>
      </c>
      <c r="DH26" s="54">
        <f t="array" ref="DH26">-(IF(DH$2=1,Assumptions!$X27/12,-(SUMIF($D$2:$EE$2,DH$2-1,$D26:$EE26)/12)*(1+XLOOKUP(DH$2,Assumptions!$C$94:$M$94,Assumptions!$C$98:$M$98))))</f>
        <v>-9482.915878</v>
      </c>
      <c r="DI26" s="54">
        <f t="array" ref="DI26">-(IF(DI$2=1,Assumptions!$X27/12,-(SUMIF($D$2:$EE$2,DI$2-1,$D26:$EE26)/12)*(1+XLOOKUP(DI$2,Assumptions!$C$94:$M$94,Assumptions!$C$98:$M$98))))</f>
        <v>-9482.915878</v>
      </c>
      <c r="DJ26" s="54">
        <f t="array" ref="DJ26">-(IF(DJ$2=1,Assumptions!$X27/12,-(SUMIF($D$2:$EE$2,DJ$2-1,$D26:$EE26)/12)*(1+XLOOKUP(DJ$2,Assumptions!$C$94:$M$94,Assumptions!$C$98:$M$98))))</f>
        <v>-9482.915878</v>
      </c>
      <c r="DK26" s="54">
        <f t="array" ref="DK26">-(IF(DK$2=1,Assumptions!$X27/12,-(SUMIF($D$2:$EE$2,DK$2-1,$D26:$EE26)/12)*(1+XLOOKUP(DK$2,Assumptions!$C$94:$M$94,Assumptions!$C$98:$M$98))))</f>
        <v>-9482.915878</v>
      </c>
      <c r="DL26" s="54">
        <f t="array" ref="DL26">-(IF(DL$2=1,Assumptions!$X27/12,-(SUMIF($D$2:$EE$2,DL$2-1,$D26:$EE26)/12)*(1+XLOOKUP(DL$2,Assumptions!$C$94:$M$94,Assumptions!$C$98:$M$98))))</f>
        <v>-9482.915878</v>
      </c>
      <c r="DM26" s="54">
        <f t="array" ref="DM26">-(IF(DM$2=1,Assumptions!$X27/12,-(SUMIF($D$2:$EE$2,DM$2-1,$D26:$EE26)/12)*(1+XLOOKUP(DM$2,Assumptions!$C$94:$M$94,Assumptions!$C$98:$M$98))))</f>
        <v>-9482.915878</v>
      </c>
      <c r="DN26" s="54">
        <f t="array" ref="DN26">-(IF(DN$2=1,Assumptions!$X27/12,-(SUMIF($D$2:$EE$2,DN$2-1,$D26:$EE26)/12)*(1+XLOOKUP(DN$2,Assumptions!$C$94:$M$94,Assumptions!$C$98:$M$98))))</f>
        <v>-9482.915878</v>
      </c>
      <c r="DO26" s="54">
        <f t="array" ref="DO26">-(IF(DO$2=1,Assumptions!$X27/12,-(SUMIF($D$2:$EE$2,DO$2-1,$D26:$EE26)/12)*(1+XLOOKUP(DO$2,Assumptions!$C$94:$M$94,Assumptions!$C$98:$M$98))))</f>
        <v>-9482.915878</v>
      </c>
      <c r="DP26" s="54">
        <f t="array" ref="DP26">-(IF(DP$2=1,Assumptions!$X27/12,-(SUMIF($D$2:$EE$2,DP$2-1,$D26:$EE26)/12)*(1+XLOOKUP(DP$2,Assumptions!$C$94:$M$94,Assumptions!$C$98:$M$98))))</f>
        <v>-9482.915878</v>
      </c>
      <c r="DQ26" s="54">
        <f t="array" ref="DQ26">-(IF(DQ$2=1,Assumptions!$X27/12,-(SUMIF($D$2:$EE$2,DQ$2-1,$D26:$EE26)/12)*(1+XLOOKUP(DQ$2,Assumptions!$C$94:$M$94,Assumptions!$C$98:$M$98))))</f>
        <v>-9482.915878</v>
      </c>
      <c r="DR26" s="54">
        <f t="array" ref="DR26">-(IF(DR$2=1,Assumptions!$X27/12,-(SUMIF($D$2:$EE$2,DR$2-1,$D26:$EE26)/12)*(1+XLOOKUP(DR$2,Assumptions!$C$94:$M$94,Assumptions!$C$98:$M$98))))</f>
        <v>-9482.915878</v>
      </c>
      <c r="DS26" s="54">
        <f t="array" ref="DS26">-(IF(DS$2=1,Assumptions!$X27/12,-(SUMIF($D$2:$EE$2,DS$2-1,$D26:$EE26)/12)*(1+XLOOKUP(DS$2,Assumptions!$C$94:$M$94,Assumptions!$C$98:$M$98))))</f>
        <v>-9482.915878</v>
      </c>
      <c r="DT26" s="54">
        <f t="array" ref="DT26">-(IF(DT$2=1,Assumptions!$X27/12,-(SUMIF($D$2:$EE$2,DT$2-1,$D26:$EE26)/12)*(1+XLOOKUP(DT$2,Assumptions!$C$94:$M$94,Assumptions!$C$98:$M$98))))</f>
        <v>-9767.403354</v>
      </c>
      <c r="DU26" s="54">
        <f t="array" ref="DU26">-(IF(DU$2=1,Assumptions!$X27/12,-(SUMIF($D$2:$EE$2,DU$2-1,$D26:$EE26)/12)*(1+XLOOKUP(DU$2,Assumptions!$C$94:$M$94,Assumptions!$C$98:$M$98))))</f>
        <v>-9767.403354</v>
      </c>
      <c r="DV26" s="54">
        <f t="array" ref="DV26">-(IF(DV$2=1,Assumptions!$X27/12,-(SUMIF($D$2:$EE$2,DV$2-1,$D26:$EE26)/12)*(1+XLOOKUP(DV$2,Assumptions!$C$94:$M$94,Assumptions!$C$98:$M$98))))</f>
        <v>-9767.403354</v>
      </c>
      <c r="DW26" s="54">
        <f t="array" ref="DW26">-(IF(DW$2=1,Assumptions!$X27/12,-(SUMIF($D$2:$EE$2,DW$2-1,$D26:$EE26)/12)*(1+XLOOKUP(DW$2,Assumptions!$C$94:$M$94,Assumptions!$C$98:$M$98))))</f>
        <v>-9767.403354</v>
      </c>
      <c r="DX26" s="54">
        <f t="array" ref="DX26">-(IF(DX$2=1,Assumptions!$X27/12,-(SUMIF($D$2:$EE$2,DX$2-1,$D26:$EE26)/12)*(1+XLOOKUP(DX$2,Assumptions!$C$94:$M$94,Assumptions!$C$98:$M$98))))</f>
        <v>-9767.403354</v>
      </c>
      <c r="DY26" s="54">
        <f t="array" ref="DY26">-(IF(DY$2=1,Assumptions!$X27/12,-(SUMIF($D$2:$EE$2,DY$2-1,$D26:$EE26)/12)*(1+XLOOKUP(DY$2,Assumptions!$C$94:$M$94,Assumptions!$C$98:$M$98))))</f>
        <v>-9767.403354</v>
      </c>
      <c r="DZ26" s="54">
        <f t="array" ref="DZ26">-(IF(DZ$2=1,Assumptions!$X27/12,-(SUMIF($D$2:$EE$2,DZ$2-1,$D26:$EE26)/12)*(1+XLOOKUP(DZ$2,Assumptions!$C$94:$M$94,Assumptions!$C$98:$M$98))))</f>
        <v>-9767.403354</v>
      </c>
      <c r="EA26" s="54">
        <f t="array" ref="EA26">-(IF(EA$2=1,Assumptions!$X27/12,-(SUMIF($D$2:$EE$2,EA$2-1,$D26:$EE26)/12)*(1+XLOOKUP(EA$2,Assumptions!$C$94:$M$94,Assumptions!$C$98:$M$98))))</f>
        <v>-9767.403354</v>
      </c>
      <c r="EB26" s="54">
        <f t="array" ref="EB26">-(IF(EB$2=1,Assumptions!$X27/12,-(SUMIF($D$2:$EE$2,EB$2-1,$D26:$EE26)/12)*(1+XLOOKUP(EB$2,Assumptions!$C$94:$M$94,Assumptions!$C$98:$M$98))))</f>
        <v>-9767.403354</v>
      </c>
      <c r="EC26" s="54">
        <f t="array" ref="EC26">-(IF(EC$2=1,Assumptions!$X27/12,-(SUMIF($D$2:$EE$2,EC$2-1,$D26:$EE26)/12)*(1+XLOOKUP(EC$2,Assumptions!$C$94:$M$94,Assumptions!$C$98:$M$98))))</f>
        <v>-9767.403354</v>
      </c>
      <c r="ED26" s="54">
        <f t="array" ref="ED26">-(IF(ED$2=1,Assumptions!$X27/12,-(SUMIF($D$2:$EE$2,ED$2-1,$D26:$EE26)/12)*(1+XLOOKUP(ED$2,Assumptions!$C$94:$M$94,Assumptions!$C$98:$M$98))))</f>
        <v>-9767.403354</v>
      </c>
      <c r="EE26" s="54">
        <f t="array" ref="EE26">-(IF(EE$2=1,Assumptions!$X27/12,-(SUMIF($D$2:$EE$2,EE$2-1,$D26:$EE26)/12)*(1+XLOOKUP(EE$2,Assumptions!$C$94:$M$94,Assumptions!$C$98:$M$98))))</f>
        <v>-9767.403354</v>
      </c>
    </row>
    <row r="27" ht="15.75" customHeight="1">
      <c r="A27" s="1"/>
      <c r="B27" s="1"/>
      <c r="C27" s="1" t="str">
        <f>Assumptions!J28</f>
        <v>Other Utilities</v>
      </c>
      <c r="D27" s="54">
        <f t="array" ref="D27">-(IF(D$2=1,Assumptions!$X28/12,-(SUMIF($D$2:$EE$2,D$2-1,$D27:$EE27)/12)*(1+XLOOKUP(D$2,Assumptions!$C$94:$M$94,Assumptions!$C$98:$M$98))))</f>
        <v>-4534.550108</v>
      </c>
      <c r="E27" s="54">
        <f t="array" ref="E27">-(IF(E$2=1,Assumptions!$X28/12,-(SUMIF($D$2:$EE$2,E$2-1,$D27:$EE27)/12)*(1+XLOOKUP(E$2,Assumptions!$C$94:$M$94,Assumptions!$C$98:$M$98))))</f>
        <v>-4534.550108</v>
      </c>
      <c r="F27" s="54">
        <f t="array" ref="F27">-(IF(F$2=1,Assumptions!$X28/12,-(SUMIF($D$2:$EE$2,F$2-1,$D27:$EE27)/12)*(1+XLOOKUP(F$2,Assumptions!$C$94:$M$94,Assumptions!$C$98:$M$98))))</f>
        <v>-4534.550108</v>
      </c>
      <c r="G27" s="54">
        <f t="array" ref="G27">-(IF(G$2=1,Assumptions!$X28/12,-(SUMIF($D$2:$EE$2,G$2-1,$D27:$EE27)/12)*(1+XLOOKUP(G$2,Assumptions!$C$94:$M$94,Assumptions!$C$98:$M$98))))</f>
        <v>-4534.550108</v>
      </c>
      <c r="H27" s="54">
        <f t="array" ref="H27">-(IF(H$2=1,Assumptions!$X28/12,-(SUMIF($D$2:$EE$2,H$2-1,$D27:$EE27)/12)*(1+XLOOKUP(H$2,Assumptions!$C$94:$M$94,Assumptions!$C$98:$M$98))))</f>
        <v>-4534.550108</v>
      </c>
      <c r="I27" s="54">
        <f t="array" ref="I27">-(IF(I$2=1,Assumptions!$X28/12,-(SUMIF($D$2:$EE$2,I$2-1,$D27:$EE27)/12)*(1+XLOOKUP(I$2,Assumptions!$C$94:$M$94,Assumptions!$C$98:$M$98))))</f>
        <v>-4534.550108</v>
      </c>
      <c r="J27" s="54">
        <f t="array" ref="J27">-(IF(J$2=1,Assumptions!$X28/12,-(SUMIF($D$2:$EE$2,J$2-1,$D27:$EE27)/12)*(1+XLOOKUP(J$2,Assumptions!$C$94:$M$94,Assumptions!$C$98:$M$98))))</f>
        <v>-4534.550108</v>
      </c>
      <c r="K27" s="54">
        <f t="array" ref="K27">-(IF(K$2=1,Assumptions!$X28/12,-(SUMIF($D$2:$EE$2,K$2-1,$D27:$EE27)/12)*(1+XLOOKUP(K$2,Assumptions!$C$94:$M$94,Assumptions!$C$98:$M$98))))</f>
        <v>-4534.550108</v>
      </c>
      <c r="L27" s="54">
        <f t="array" ref="L27">-(IF(L$2=1,Assumptions!$X28/12,-(SUMIF($D$2:$EE$2,L$2-1,$D27:$EE27)/12)*(1+XLOOKUP(L$2,Assumptions!$C$94:$M$94,Assumptions!$C$98:$M$98))))</f>
        <v>-4534.550108</v>
      </c>
      <c r="M27" s="54">
        <f t="array" ref="M27">-(IF(M$2=1,Assumptions!$X28/12,-(SUMIF($D$2:$EE$2,M$2-1,$D27:$EE27)/12)*(1+XLOOKUP(M$2,Assumptions!$C$94:$M$94,Assumptions!$C$98:$M$98))))</f>
        <v>-4534.550108</v>
      </c>
      <c r="N27" s="54">
        <f t="array" ref="N27">-(IF(N$2=1,Assumptions!$X28/12,-(SUMIF($D$2:$EE$2,N$2-1,$D27:$EE27)/12)*(1+XLOOKUP(N$2,Assumptions!$C$94:$M$94,Assumptions!$C$98:$M$98))))</f>
        <v>-4534.550108</v>
      </c>
      <c r="O27" s="54">
        <f t="array" ref="O27">-(IF(O$2=1,Assumptions!$X28/12,-(SUMIF($D$2:$EE$2,O$2-1,$D27:$EE27)/12)*(1+XLOOKUP(O$2,Assumptions!$C$94:$M$94,Assumptions!$C$98:$M$98))))</f>
        <v>-4534.550108</v>
      </c>
      <c r="P27" s="54">
        <f t="array" ref="P27">-(IF(P$2=1,Assumptions!$X28/12,-(SUMIF($D$2:$EE$2,P$2-1,$D27:$EE27)/12)*(1+XLOOKUP(P$2,Assumptions!$C$94:$M$94,Assumptions!$C$98:$M$98))))</f>
        <v>-4670.586612</v>
      </c>
      <c r="Q27" s="54">
        <f t="array" ref="Q27">-(IF(Q$2=1,Assumptions!$X28/12,-(SUMIF($D$2:$EE$2,Q$2-1,$D27:$EE27)/12)*(1+XLOOKUP(Q$2,Assumptions!$C$94:$M$94,Assumptions!$C$98:$M$98))))</f>
        <v>-4670.586612</v>
      </c>
      <c r="R27" s="54">
        <f t="array" ref="R27">-(IF(R$2=1,Assumptions!$X28/12,-(SUMIF($D$2:$EE$2,R$2-1,$D27:$EE27)/12)*(1+XLOOKUP(R$2,Assumptions!$C$94:$M$94,Assumptions!$C$98:$M$98))))</f>
        <v>-4670.586612</v>
      </c>
      <c r="S27" s="54">
        <f t="array" ref="S27">-(IF(S$2=1,Assumptions!$X28/12,-(SUMIF($D$2:$EE$2,S$2-1,$D27:$EE27)/12)*(1+XLOOKUP(S$2,Assumptions!$C$94:$M$94,Assumptions!$C$98:$M$98))))</f>
        <v>-4670.586612</v>
      </c>
      <c r="T27" s="54">
        <f t="array" ref="T27">-(IF(T$2=1,Assumptions!$X28/12,-(SUMIF($D$2:$EE$2,T$2-1,$D27:$EE27)/12)*(1+XLOOKUP(T$2,Assumptions!$C$94:$M$94,Assumptions!$C$98:$M$98))))</f>
        <v>-4670.586612</v>
      </c>
      <c r="U27" s="54">
        <f t="array" ref="U27">-(IF(U$2=1,Assumptions!$X28/12,-(SUMIF($D$2:$EE$2,U$2-1,$D27:$EE27)/12)*(1+XLOOKUP(U$2,Assumptions!$C$94:$M$94,Assumptions!$C$98:$M$98))))</f>
        <v>-4670.586612</v>
      </c>
      <c r="V27" s="54">
        <f t="array" ref="V27">-(IF(V$2=1,Assumptions!$X28/12,-(SUMIF($D$2:$EE$2,V$2-1,$D27:$EE27)/12)*(1+XLOOKUP(V$2,Assumptions!$C$94:$M$94,Assumptions!$C$98:$M$98))))</f>
        <v>-4670.586612</v>
      </c>
      <c r="W27" s="54">
        <f t="array" ref="W27">-(IF(W$2=1,Assumptions!$X28/12,-(SUMIF($D$2:$EE$2,W$2-1,$D27:$EE27)/12)*(1+XLOOKUP(W$2,Assumptions!$C$94:$M$94,Assumptions!$C$98:$M$98))))</f>
        <v>-4670.586612</v>
      </c>
      <c r="X27" s="54">
        <f t="array" ref="X27">-(IF(X$2=1,Assumptions!$X28/12,-(SUMIF($D$2:$EE$2,X$2-1,$D27:$EE27)/12)*(1+XLOOKUP(X$2,Assumptions!$C$94:$M$94,Assumptions!$C$98:$M$98))))</f>
        <v>-4670.586612</v>
      </c>
      <c r="Y27" s="54">
        <f t="array" ref="Y27">-(IF(Y$2=1,Assumptions!$X28/12,-(SUMIF($D$2:$EE$2,Y$2-1,$D27:$EE27)/12)*(1+XLOOKUP(Y$2,Assumptions!$C$94:$M$94,Assumptions!$C$98:$M$98))))</f>
        <v>-4670.586612</v>
      </c>
      <c r="Z27" s="54">
        <f t="array" ref="Z27">-(IF(Z$2=1,Assumptions!$X28/12,-(SUMIF($D$2:$EE$2,Z$2-1,$D27:$EE27)/12)*(1+XLOOKUP(Z$2,Assumptions!$C$94:$M$94,Assumptions!$C$98:$M$98))))</f>
        <v>-4670.586612</v>
      </c>
      <c r="AA27" s="54">
        <f t="array" ref="AA27">-(IF(AA$2=1,Assumptions!$X28/12,-(SUMIF($D$2:$EE$2,AA$2-1,$D27:$EE27)/12)*(1+XLOOKUP(AA$2,Assumptions!$C$94:$M$94,Assumptions!$C$98:$M$98))))</f>
        <v>-4670.586612</v>
      </c>
      <c r="AB27" s="54">
        <f t="array" ref="AB27">-(IF(AB$2=1,Assumptions!$X28/12,-(SUMIF($D$2:$EE$2,AB$2-1,$D27:$EE27)/12)*(1+XLOOKUP(AB$2,Assumptions!$C$94:$M$94,Assumptions!$C$98:$M$98))))</f>
        <v>-4810.70421</v>
      </c>
      <c r="AC27" s="54">
        <f t="array" ref="AC27">-(IF(AC$2=1,Assumptions!$X28/12,-(SUMIF($D$2:$EE$2,AC$2-1,$D27:$EE27)/12)*(1+XLOOKUP(AC$2,Assumptions!$C$94:$M$94,Assumptions!$C$98:$M$98))))</f>
        <v>-4810.70421</v>
      </c>
      <c r="AD27" s="54">
        <f t="array" ref="AD27">-(IF(AD$2=1,Assumptions!$X28/12,-(SUMIF($D$2:$EE$2,AD$2-1,$D27:$EE27)/12)*(1+XLOOKUP(AD$2,Assumptions!$C$94:$M$94,Assumptions!$C$98:$M$98))))</f>
        <v>-4810.70421</v>
      </c>
      <c r="AE27" s="54">
        <f t="array" ref="AE27">-(IF(AE$2=1,Assumptions!$X28/12,-(SUMIF($D$2:$EE$2,AE$2-1,$D27:$EE27)/12)*(1+XLOOKUP(AE$2,Assumptions!$C$94:$M$94,Assumptions!$C$98:$M$98))))</f>
        <v>-4810.70421</v>
      </c>
      <c r="AF27" s="54">
        <f t="array" ref="AF27">-(IF(AF$2=1,Assumptions!$X28/12,-(SUMIF($D$2:$EE$2,AF$2-1,$D27:$EE27)/12)*(1+XLOOKUP(AF$2,Assumptions!$C$94:$M$94,Assumptions!$C$98:$M$98))))</f>
        <v>-4810.70421</v>
      </c>
      <c r="AG27" s="54">
        <f t="array" ref="AG27">-(IF(AG$2=1,Assumptions!$X28/12,-(SUMIF($D$2:$EE$2,AG$2-1,$D27:$EE27)/12)*(1+XLOOKUP(AG$2,Assumptions!$C$94:$M$94,Assumptions!$C$98:$M$98))))</f>
        <v>-4810.70421</v>
      </c>
      <c r="AH27" s="54">
        <f t="array" ref="AH27">-(IF(AH$2=1,Assumptions!$X28/12,-(SUMIF($D$2:$EE$2,AH$2-1,$D27:$EE27)/12)*(1+XLOOKUP(AH$2,Assumptions!$C$94:$M$94,Assumptions!$C$98:$M$98))))</f>
        <v>-4810.70421</v>
      </c>
      <c r="AI27" s="54">
        <f t="array" ref="AI27">-(IF(AI$2=1,Assumptions!$X28/12,-(SUMIF($D$2:$EE$2,AI$2-1,$D27:$EE27)/12)*(1+XLOOKUP(AI$2,Assumptions!$C$94:$M$94,Assumptions!$C$98:$M$98))))</f>
        <v>-4810.70421</v>
      </c>
      <c r="AJ27" s="54">
        <f t="array" ref="AJ27">-(IF(AJ$2=1,Assumptions!$X28/12,-(SUMIF($D$2:$EE$2,AJ$2-1,$D27:$EE27)/12)*(1+XLOOKUP(AJ$2,Assumptions!$C$94:$M$94,Assumptions!$C$98:$M$98))))</f>
        <v>-4810.70421</v>
      </c>
      <c r="AK27" s="54">
        <f t="array" ref="AK27">-(IF(AK$2=1,Assumptions!$X28/12,-(SUMIF($D$2:$EE$2,AK$2-1,$D27:$EE27)/12)*(1+XLOOKUP(AK$2,Assumptions!$C$94:$M$94,Assumptions!$C$98:$M$98))))</f>
        <v>-4810.70421</v>
      </c>
      <c r="AL27" s="54">
        <f t="array" ref="AL27">-(IF(AL$2=1,Assumptions!$X28/12,-(SUMIF($D$2:$EE$2,AL$2-1,$D27:$EE27)/12)*(1+XLOOKUP(AL$2,Assumptions!$C$94:$M$94,Assumptions!$C$98:$M$98))))</f>
        <v>-4810.70421</v>
      </c>
      <c r="AM27" s="54">
        <f t="array" ref="AM27">-(IF(AM$2=1,Assumptions!$X28/12,-(SUMIF($D$2:$EE$2,AM$2-1,$D27:$EE27)/12)*(1+XLOOKUP(AM$2,Assumptions!$C$94:$M$94,Assumptions!$C$98:$M$98))))</f>
        <v>-4810.70421</v>
      </c>
      <c r="AN27" s="54">
        <f t="array" ref="AN27">-(IF(AN$2=1,Assumptions!$X28/12,-(SUMIF($D$2:$EE$2,AN$2-1,$D27:$EE27)/12)*(1+XLOOKUP(AN$2,Assumptions!$C$94:$M$94,Assumptions!$C$98:$M$98))))</f>
        <v>-4955.025336</v>
      </c>
      <c r="AO27" s="54">
        <f t="array" ref="AO27">-(IF(AO$2=1,Assumptions!$X28/12,-(SUMIF($D$2:$EE$2,AO$2-1,$D27:$EE27)/12)*(1+XLOOKUP(AO$2,Assumptions!$C$94:$M$94,Assumptions!$C$98:$M$98))))</f>
        <v>-4955.025336</v>
      </c>
      <c r="AP27" s="54">
        <f t="array" ref="AP27">-(IF(AP$2=1,Assumptions!$X28/12,-(SUMIF($D$2:$EE$2,AP$2-1,$D27:$EE27)/12)*(1+XLOOKUP(AP$2,Assumptions!$C$94:$M$94,Assumptions!$C$98:$M$98))))</f>
        <v>-4955.025336</v>
      </c>
      <c r="AQ27" s="54">
        <f t="array" ref="AQ27">-(IF(AQ$2=1,Assumptions!$X28/12,-(SUMIF($D$2:$EE$2,AQ$2-1,$D27:$EE27)/12)*(1+XLOOKUP(AQ$2,Assumptions!$C$94:$M$94,Assumptions!$C$98:$M$98))))</f>
        <v>-4955.025336</v>
      </c>
      <c r="AR27" s="54">
        <f t="array" ref="AR27">-(IF(AR$2=1,Assumptions!$X28/12,-(SUMIF($D$2:$EE$2,AR$2-1,$D27:$EE27)/12)*(1+XLOOKUP(AR$2,Assumptions!$C$94:$M$94,Assumptions!$C$98:$M$98))))</f>
        <v>-4955.025336</v>
      </c>
      <c r="AS27" s="54">
        <f t="array" ref="AS27">-(IF(AS$2=1,Assumptions!$X28/12,-(SUMIF($D$2:$EE$2,AS$2-1,$D27:$EE27)/12)*(1+XLOOKUP(AS$2,Assumptions!$C$94:$M$94,Assumptions!$C$98:$M$98))))</f>
        <v>-4955.025336</v>
      </c>
      <c r="AT27" s="54">
        <f t="array" ref="AT27">-(IF(AT$2=1,Assumptions!$X28/12,-(SUMIF($D$2:$EE$2,AT$2-1,$D27:$EE27)/12)*(1+XLOOKUP(AT$2,Assumptions!$C$94:$M$94,Assumptions!$C$98:$M$98))))</f>
        <v>-4955.025336</v>
      </c>
      <c r="AU27" s="54">
        <f t="array" ref="AU27">-(IF(AU$2=1,Assumptions!$X28/12,-(SUMIF($D$2:$EE$2,AU$2-1,$D27:$EE27)/12)*(1+XLOOKUP(AU$2,Assumptions!$C$94:$M$94,Assumptions!$C$98:$M$98))))</f>
        <v>-4955.025336</v>
      </c>
      <c r="AV27" s="54">
        <f t="array" ref="AV27">-(IF(AV$2=1,Assumptions!$X28/12,-(SUMIF($D$2:$EE$2,AV$2-1,$D27:$EE27)/12)*(1+XLOOKUP(AV$2,Assumptions!$C$94:$M$94,Assumptions!$C$98:$M$98))))</f>
        <v>-4955.025336</v>
      </c>
      <c r="AW27" s="54">
        <f t="array" ref="AW27">-(IF(AW$2=1,Assumptions!$X28/12,-(SUMIF($D$2:$EE$2,AW$2-1,$D27:$EE27)/12)*(1+XLOOKUP(AW$2,Assumptions!$C$94:$M$94,Assumptions!$C$98:$M$98))))</f>
        <v>-4955.025336</v>
      </c>
      <c r="AX27" s="54">
        <f t="array" ref="AX27">-(IF(AX$2=1,Assumptions!$X28/12,-(SUMIF($D$2:$EE$2,AX$2-1,$D27:$EE27)/12)*(1+XLOOKUP(AX$2,Assumptions!$C$94:$M$94,Assumptions!$C$98:$M$98))))</f>
        <v>-4955.025336</v>
      </c>
      <c r="AY27" s="54">
        <f t="array" ref="AY27">-(IF(AY$2=1,Assumptions!$X28/12,-(SUMIF($D$2:$EE$2,AY$2-1,$D27:$EE27)/12)*(1+XLOOKUP(AY$2,Assumptions!$C$94:$M$94,Assumptions!$C$98:$M$98))))</f>
        <v>-4955.025336</v>
      </c>
      <c r="AZ27" s="54">
        <f t="array" ref="AZ27">-(IF(AZ$2=1,Assumptions!$X28/12,-(SUMIF($D$2:$EE$2,AZ$2-1,$D27:$EE27)/12)*(1+XLOOKUP(AZ$2,Assumptions!$C$94:$M$94,Assumptions!$C$98:$M$98))))</f>
        <v>-5103.676096</v>
      </c>
      <c r="BA27" s="54">
        <f t="array" ref="BA27">-(IF(BA$2=1,Assumptions!$X28/12,-(SUMIF($D$2:$EE$2,BA$2-1,$D27:$EE27)/12)*(1+XLOOKUP(BA$2,Assumptions!$C$94:$M$94,Assumptions!$C$98:$M$98))))</f>
        <v>-5103.676096</v>
      </c>
      <c r="BB27" s="54">
        <f t="array" ref="BB27">-(IF(BB$2=1,Assumptions!$X28/12,-(SUMIF($D$2:$EE$2,BB$2-1,$D27:$EE27)/12)*(1+XLOOKUP(BB$2,Assumptions!$C$94:$M$94,Assumptions!$C$98:$M$98))))</f>
        <v>-5103.676096</v>
      </c>
      <c r="BC27" s="54">
        <f t="array" ref="BC27">-(IF(BC$2=1,Assumptions!$X28/12,-(SUMIF($D$2:$EE$2,BC$2-1,$D27:$EE27)/12)*(1+XLOOKUP(BC$2,Assumptions!$C$94:$M$94,Assumptions!$C$98:$M$98))))</f>
        <v>-5103.676096</v>
      </c>
      <c r="BD27" s="54">
        <f t="array" ref="BD27">-(IF(BD$2=1,Assumptions!$X28/12,-(SUMIF($D$2:$EE$2,BD$2-1,$D27:$EE27)/12)*(1+XLOOKUP(BD$2,Assumptions!$C$94:$M$94,Assumptions!$C$98:$M$98))))</f>
        <v>-5103.676096</v>
      </c>
      <c r="BE27" s="54">
        <f t="array" ref="BE27">-(IF(BE$2=1,Assumptions!$X28/12,-(SUMIF($D$2:$EE$2,BE$2-1,$D27:$EE27)/12)*(1+XLOOKUP(BE$2,Assumptions!$C$94:$M$94,Assumptions!$C$98:$M$98))))</f>
        <v>-5103.676096</v>
      </c>
      <c r="BF27" s="54">
        <f t="array" ref="BF27">-(IF(BF$2=1,Assumptions!$X28/12,-(SUMIF($D$2:$EE$2,BF$2-1,$D27:$EE27)/12)*(1+XLOOKUP(BF$2,Assumptions!$C$94:$M$94,Assumptions!$C$98:$M$98))))</f>
        <v>-5103.676096</v>
      </c>
      <c r="BG27" s="54">
        <f t="array" ref="BG27">-(IF(BG$2=1,Assumptions!$X28/12,-(SUMIF($D$2:$EE$2,BG$2-1,$D27:$EE27)/12)*(1+XLOOKUP(BG$2,Assumptions!$C$94:$M$94,Assumptions!$C$98:$M$98))))</f>
        <v>-5103.676096</v>
      </c>
      <c r="BH27" s="54">
        <f t="array" ref="BH27">-(IF(BH$2=1,Assumptions!$X28/12,-(SUMIF($D$2:$EE$2,BH$2-1,$D27:$EE27)/12)*(1+XLOOKUP(BH$2,Assumptions!$C$94:$M$94,Assumptions!$C$98:$M$98))))</f>
        <v>-5103.676096</v>
      </c>
      <c r="BI27" s="54">
        <f t="array" ref="BI27">-(IF(BI$2=1,Assumptions!$X28/12,-(SUMIF($D$2:$EE$2,BI$2-1,$D27:$EE27)/12)*(1+XLOOKUP(BI$2,Assumptions!$C$94:$M$94,Assumptions!$C$98:$M$98))))</f>
        <v>-5103.676096</v>
      </c>
      <c r="BJ27" s="54">
        <f t="array" ref="BJ27">-(IF(BJ$2=1,Assumptions!$X28/12,-(SUMIF($D$2:$EE$2,BJ$2-1,$D27:$EE27)/12)*(1+XLOOKUP(BJ$2,Assumptions!$C$94:$M$94,Assumptions!$C$98:$M$98))))</f>
        <v>-5103.676096</v>
      </c>
      <c r="BK27" s="54">
        <f t="array" ref="BK27">-(IF(BK$2=1,Assumptions!$X28/12,-(SUMIF($D$2:$EE$2,BK$2-1,$D27:$EE27)/12)*(1+XLOOKUP(BK$2,Assumptions!$C$94:$M$94,Assumptions!$C$98:$M$98))))</f>
        <v>-5103.676096</v>
      </c>
      <c r="BL27" s="54">
        <f t="array" ref="BL27">-(IF(BL$2=1,Assumptions!$X28/12,-(SUMIF($D$2:$EE$2,BL$2-1,$D27:$EE27)/12)*(1+XLOOKUP(BL$2,Assumptions!$C$94:$M$94,Assumptions!$C$98:$M$98))))</f>
        <v>-5256.786379</v>
      </c>
      <c r="BM27" s="54">
        <f t="array" ref="BM27">-(IF(BM$2=1,Assumptions!$X28/12,-(SUMIF($D$2:$EE$2,BM$2-1,$D27:$EE27)/12)*(1+XLOOKUP(BM$2,Assumptions!$C$94:$M$94,Assumptions!$C$98:$M$98))))</f>
        <v>-5256.786379</v>
      </c>
      <c r="BN27" s="54">
        <f t="array" ref="BN27">-(IF(BN$2=1,Assumptions!$X28/12,-(SUMIF($D$2:$EE$2,BN$2-1,$D27:$EE27)/12)*(1+XLOOKUP(BN$2,Assumptions!$C$94:$M$94,Assumptions!$C$98:$M$98))))</f>
        <v>-5256.786379</v>
      </c>
      <c r="BO27" s="54">
        <f t="array" ref="BO27">-(IF(BO$2=1,Assumptions!$X28/12,-(SUMIF($D$2:$EE$2,BO$2-1,$D27:$EE27)/12)*(1+XLOOKUP(BO$2,Assumptions!$C$94:$M$94,Assumptions!$C$98:$M$98))))</f>
        <v>-5256.786379</v>
      </c>
      <c r="BP27" s="54">
        <f t="array" ref="BP27">-(IF(BP$2=1,Assumptions!$X28/12,-(SUMIF($D$2:$EE$2,BP$2-1,$D27:$EE27)/12)*(1+XLOOKUP(BP$2,Assumptions!$C$94:$M$94,Assumptions!$C$98:$M$98))))</f>
        <v>-5256.786379</v>
      </c>
      <c r="BQ27" s="54">
        <f t="array" ref="BQ27">-(IF(BQ$2=1,Assumptions!$X28/12,-(SUMIF($D$2:$EE$2,BQ$2-1,$D27:$EE27)/12)*(1+XLOOKUP(BQ$2,Assumptions!$C$94:$M$94,Assumptions!$C$98:$M$98))))</f>
        <v>-5256.786379</v>
      </c>
      <c r="BR27" s="54">
        <f t="array" ref="BR27">-(IF(BR$2=1,Assumptions!$X28/12,-(SUMIF($D$2:$EE$2,BR$2-1,$D27:$EE27)/12)*(1+XLOOKUP(BR$2,Assumptions!$C$94:$M$94,Assumptions!$C$98:$M$98))))</f>
        <v>-5256.786379</v>
      </c>
      <c r="BS27" s="54">
        <f t="array" ref="BS27">-(IF(BS$2=1,Assumptions!$X28/12,-(SUMIF($D$2:$EE$2,BS$2-1,$D27:$EE27)/12)*(1+XLOOKUP(BS$2,Assumptions!$C$94:$M$94,Assumptions!$C$98:$M$98))))</f>
        <v>-5256.786379</v>
      </c>
      <c r="BT27" s="54">
        <f t="array" ref="BT27">-(IF(BT$2=1,Assumptions!$X28/12,-(SUMIF($D$2:$EE$2,BT$2-1,$D27:$EE27)/12)*(1+XLOOKUP(BT$2,Assumptions!$C$94:$M$94,Assumptions!$C$98:$M$98))))</f>
        <v>-5256.786379</v>
      </c>
      <c r="BU27" s="54">
        <f t="array" ref="BU27">-(IF(BU$2=1,Assumptions!$X28/12,-(SUMIF($D$2:$EE$2,BU$2-1,$D27:$EE27)/12)*(1+XLOOKUP(BU$2,Assumptions!$C$94:$M$94,Assumptions!$C$98:$M$98))))</f>
        <v>-5256.786379</v>
      </c>
      <c r="BV27" s="54">
        <f t="array" ref="BV27">-(IF(BV$2=1,Assumptions!$X28/12,-(SUMIF($D$2:$EE$2,BV$2-1,$D27:$EE27)/12)*(1+XLOOKUP(BV$2,Assumptions!$C$94:$M$94,Assumptions!$C$98:$M$98))))</f>
        <v>-5256.786379</v>
      </c>
      <c r="BW27" s="54">
        <f t="array" ref="BW27">-(IF(BW$2=1,Assumptions!$X28/12,-(SUMIF($D$2:$EE$2,BW$2-1,$D27:$EE27)/12)*(1+XLOOKUP(BW$2,Assumptions!$C$94:$M$94,Assumptions!$C$98:$M$98))))</f>
        <v>-5256.786379</v>
      </c>
      <c r="BX27" s="54">
        <f t="array" ref="BX27">-(IF(BX$2=1,Assumptions!$X28/12,-(SUMIF($D$2:$EE$2,BX$2-1,$D27:$EE27)/12)*(1+XLOOKUP(BX$2,Assumptions!$C$94:$M$94,Assumptions!$C$98:$M$98))))</f>
        <v>-5414.489971</v>
      </c>
      <c r="BY27" s="54">
        <f t="array" ref="BY27">-(IF(BY$2=1,Assumptions!$X28/12,-(SUMIF($D$2:$EE$2,BY$2-1,$D27:$EE27)/12)*(1+XLOOKUP(BY$2,Assumptions!$C$94:$M$94,Assumptions!$C$98:$M$98))))</f>
        <v>-5414.489971</v>
      </c>
      <c r="BZ27" s="54">
        <f t="array" ref="BZ27">-(IF(BZ$2=1,Assumptions!$X28/12,-(SUMIF($D$2:$EE$2,BZ$2-1,$D27:$EE27)/12)*(1+XLOOKUP(BZ$2,Assumptions!$C$94:$M$94,Assumptions!$C$98:$M$98))))</f>
        <v>-5414.489971</v>
      </c>
      <c r="CA27" s="54">
        <f t="array" ref="CA27">-(IF(CA$2=1,Assumptions!$X28/12,-(SUMIF($D$2:$EE$2,CA$2-1,$D27:$EE27)/12)*(1+XLOOKUP(CA$2,Assumptions!$C$94:$M$94,Assumptions!$C$98:$M$98))))</f>
        <v>-5414.489971</v>
      </c>
      <c r="CB27" s="54">
        <f t="array" ref="CB27">-(IF(CB$2=1,Assumptions!$X28/12,-(SUMIF($D$2:$EE$2,CB$2-1,$D27:$EE27)/12)*(1+XLOOKUP(CB$2,Assumptions!$C$94:$M$94,Assumptions!$C$98:$M$98))))</f>
        <v>-5414.489971</v>
      </c>
      <c r="CC27" s="54">
        <f t="array" ref="CC27">-(IF(CC$2=1,Assumptions!$X28/12,-(SUMIF($D$2:$EE$2,CC$2-1,$D27:$EE27)/12)*(1+XLOOKUP(CC$2,Assumptions!$C$94:$M$94,Assumptions!$C$98:$M$98))))</f>
        <v>-5414.489971</v>
      </c>
      <c r="CD27" s="54">
        <f t="array" ref="CD27">-(IF(CD$2=1,Assumptions!$X28/12,-(SUMIF($D$2:$EE$2,CD$2-1,$D27:$EE27)/12)*(1+XLOOKUP(CD$2,Assumptions!$C$94:$M$94,Assumptions!$C$98:$M$98))))</f>
        <v>-5414.489971</v>
      </c>
      <c r="CE27" s="54">
        <f t="array" ref="CE27">-(IF(CE$2=1,Assumptions!$X28/12,-(SUMIF($D$2:$EE$2,CE$2-1,$D27:$EE27)/12)*(1+XLOOKUP(CE$2,Assumptions!$C$94:$M$94,Assumptions!$C$98:$M$98))))</f>
        <v>-5414.489971</v>
      </c>
      <c r="CF27" s="54">
        <f t="array" ref="CF27">-(IF(CF$2=1,Assumptions!$X28/12,-(SUMIF($D$2:$EE$2,CF$2-1,$D27:$EE27)/12)*(1+XLOOKUP(CF$2,Assumptions!$C$94:$M$94,Assumptions!$C$98:$M$98))))</f>
        <v>-5414.489971</v>
      </c>
      <c r="CG27" s="54">
        <f t="array" ref="CG27">-(IF(CG$2=1,Assumptions!$X28/12,-(SUMIF($D$2:$EE$2,CG$2-1,$D27:$EE27)/12)*(1+XLOOKUP(CG$2,Assumptions!$C$94:$M$94,Assumptions!$C$98:$M$98))))</f>
        <v>-5414.489971</v>
      </c>
      <c r="CH27" s="54">
        <f t="array" ref="CH27">-(IF(CH$2=1,Assumptions!$X28/12,-(SUMIF($D$2:$EE$2,CH$2-1,$D27:$EE27)/12)*(1+XLOOKUP(CH$2,Assumptions!$C$94:$M$94,Assumptions!$C$98:$M$98))))</f>
        <v>-5414.489971</v>
      </c>
      <c r="CI27" s="54">
        <f t="array" ref="CI27">-(IF(CI$2=1,Assumptions!$X28/12,-(SUMIF($D$2:$EE$2,CI$2-1,$D27:$EE27)/12)*(1+XLOOKUP(CI$2,Assumptions!$C$94:$M$94,Assumptions!$C$98:$M$98))))</f>
        <v>-5414.489971</v>
      </c>
      <c r="CJ27" s="54">
        <f t="array" ref="CJ27">-(IF(CJ$2=1,Assumptions!$X28/12,-(SUMIF($D$2:$EE$2,CJ$2-1,$D27:$EE27)/12)*(1+XLOOKUP(CJ$2,Assumptions!$C$94:$M$94,Assumptions!$C$98:$M$98))))</f>
        <v>-5576.92467</v>
      </c>
      <c r="CK27" s="54">
        <f t="array" ref="CK27">-(IF(CK$2=1,Assumptions!$X28/12,-(SUMIF($D$2:$EE$2,CK$2-1,$D27:$EE27)/12)*(1+XLOOKUP(CK$2,Assumptions!$C$94:$M$94,Assumptions!$C$98:$M$98))))</f>
        <v>-5576.92467</v>
      </c>
      <c r="CL27" s="54">
        <f t="array" ref="CL27">-(IF(CL$2=1,Assumptions!$X28/12,-(SUMIF($D$2:$EE$2,CL$2-1,$D27:$EE27)/12)*(1+XLOOKUP(CL$2,Assumptions!$C$94:$M$94,Assumptions!$C$98:$M$98))))</f>
        <v>-5576.92467</v>
      </c>
      <c r="CM27" s="54">
        <f t="array" ref="CM27">-(IF(CM$2=1,Assumptions!$X28/12,-(SUMIF($D$2:$EE$2,CM$2-1,$D27:$EE27)/12)*(1+XLOOKUP(CM$2,Assumptions!$C$94:$M$94,Assumptions!$C$98:$M$98))))</f>
        <v>-5576.92467</v>
      </c>
      <c r="CN27" s="54">
        <f t="array" ref="CN27">-(IF(CN$2=1,Assumptions!$X28/12,-(SUMIF($D$2:$EE$2,CN$2-1,$D27:$EE27)/12)*(1+XLOOKUP(CN$2,Assumptions!$C$94:$M$94,Assumptions!$C$98:$M$98))))</f>
        <v>-5576.92467</v>
      </c>
      <c r="CO27" s="54">
        <f t="array" ref="CO27">-(IF(CO$2=1,Assumptions!$X28/12,-(SUMIF($D$2:$EE$2,CO$2-1,$D27:$EE27)/12)*(1+XLOOKUP(CO$2,Assumptions!$C$94:$M$94,Assumptions!$C$98:$M$98))))</f>
        <v>-5576.92467</v>
      </c>
      <c r="CP27" s="54">
        <f t="array" ref="CP27">-(IF(CP$2=1,Assumptions!$X28/12,-(SUMIF($D$2:$EE$2,CP$2-1,$D27:$EE27)/12)*(1+XLOOKUP(CP$2,Assumptions!$C$94:$M$94,Assumptions!$C$98:$M$98))))</f>
        <v>-5576.92467</v>
      </c>
      <c r="CQ27" s="54">
        <f t="array" ref="CQ27">-(IF(CQ$2=1,Assumptions!$X28/12,-(SUMIF($D$2:$EE$2,CQ$2-1,$D27:$EE27)/12)*(1+XLOOKUP(CQ$2,Assumptions!$C$94:$M$94,Assumptions!$C$98:$M$98))))</f>
        <v>-5576.92467</v>
      </c>
      <c r="CR27" s="54">
        <f t="array" ref="CR27">-(IF(CR$2=1,Assumptions!$X28/12,-(SUMIF($D$2:$EE$2,CR$2-1,$D27:$EE27)/12)*(1+XLOOKUP(CR$2,Assumptions!$C$94:$M$94,Assumptions!$C$98:$M$98))))</f>
        <v>-5576.92467</v>
      </c>
      <c r="CS27" s="54">
        <f t="array" ref="CS27">-(IF(CS$2=1,Assumptions!$X28/12,-(SUMIF($D$2:$EE$2,CS$2-1,$D27:$EE27)/12)*(1+XLOOKUP(CS$2,Assumptions!$C$94:$M$94,Assumptions!$C$98:$M$98))))</f>
        <v>-5576.92467</v>
      </c>
      <c r="CT27" s="54">
        <f t="array" ref="CT27">-(IF(CT$2=1,Assumptions!$X28/12,-(SUMIF($D$2:$EE$2,CT$2-1,$D27:$EE27)/12)*(1+XLOOKUP(CT$2,Assumptions!$C$94:$M$94,Assumptions!$C$98:$M$98))))</f>
        <v>-5576.92467</v>
      </c>
      <c r="CU27" s="54">
        <f t="array" ref="CU27">-(IF(CU$2=1,Assumptions!$X28/12,-(SUMIF($D$2:$EE$2,CU$2-1,$D27:$EE27)/12)*(1+XLOOKUP(CU$2,Assumptions!$C$94:$M$94,Assumptions!$C$98:$M$98))))</f>
        <v>-5576.92467</v>
      </c>
      <c r="CV27" s="54">
        <f t="array" ref="CV27">-(IF(CV$2=1,Assumptions!$X28/12,-(SUMIF($D$2:$EE$2,CV$2-1,$D27:$EE27)/12)*(1+XLOOKUP(CV$2,Assumptions!$C$94:$M$94,Assumptions!$C$98:$M$98))))</f>
        <v>-5744.23241</v>
      </c>
      <c r="CW27" s="54">
        <f t="array" ref="CW27">-(IF(CW$2=1,Assumptions!$X28/12,-(SUMIF($D$2:$EE$2,CW$2-1,$D27:$EE27)/12)*(1+XLOOKUP(CW$2,Assumptions!$C$94:$M$94,Assumptions!$C$98:$M$98))))</f>
        <v>-5744.23241</v>
      </c>
      <c r="CX27" s="54">
        <f t="array" ref="CX27">-(IF(CX$2=1,Assumptions!$X28/12,-(SUMIF($D$2:$EE$2,CX$2-1,$D27:$EE27)/12)*(1+XLOOKUP(CX$2,Assumptions!$C$94:$M$94,Assumptions!$C$98:$M$98))))</f>
        <v>-5744.23241</v>
      </c>
      <c r="CY27" s="54">
        <f t="array" ref="CY27">-(IF(CY$2=1,Assumptions!$X28/12,-(SUMIF($D$2:$EE$2,CY$2-1,$D27:$EE27)/12)*(1+XLOOKUP(CY$2,Assumptions!$C$94:$M$94,Assumptions!$C$98:$M$98))))</f>
        <v>-5744.23241</v>
      </c>
      <c r="CZ27" s="54">
        <f t="array" ref="CZ27">-(IF(CZ$2=1,Assumptions!$X28/12,-(SUMIF($D$2:$EE$2,CZ$2-1,$D27:$EE27)/12)*(1+XLOOKUP(CZ$2,Assumptions!$C$94:$M$94,Assumptions!$C$98:$M$98))))</f>
        <v>-5744.23241</v>
      </c>
      <c r="DA27" s="54">
        <f t="array" ref="DA27">-(IF(DA$2=1,Assumptions!$X28/12,-(SUMIF($D$2:$EE$2,DA$2-1,$D27:$EE27)/12)*(1+XLOOKUP(DA$2,Assumptions!$C$94:$M$94,Assumptions!$C$98:$M$98))))</f>
        <v>-5744.23241</v>
      </c>
      <c r="DB27" s="54">
        <f t="array" ref="DB27">-(IF(DB$2=1,Assumptions!$X28/12,-(SUMIF($D$2:$EE$2,DB$2-1,$D27:$EE27)/12)*(1+XLOOKUP(DB$2,Assumptions!$C$94:$M$94,Assumptions!$C$98:$M$98))))</f>
        <v>-5744.23241</v>
      </c>
      <c r="DC27" s="54">
        <f t="array" ref="DC27">-(IF(DC$2=1,Assumptions!$X28/12,-(SUMIF($D$2:$EE$2,DC$2-1,$D27:$EE27)/12)*(1+XLOOKUP(DC$2,Assumptions!$C$94:$M$94,Assumptions!$C$98:$M$98))))</f>
        <v>-5744.23241</v>
      </c>
      <c r="DD27" s="54">
        <f t="array" ref="DD27">-(IF(DD$2=1,Assumptions!$X28/12,-(SUMIF($D$2:$EE$2,DD$2-1,$D27:$EE27)/12)*(1+XLOOKUP(DD$2,Assumptions!$C$94:$M$94,Assumptions!$C$98:$M$98))))</f>
        <v>-5744.23241</v>
      </c>
      <c r="DE27" s="54">
        <f t="array" ref="DE27">-(IF(DE$2=1,Assumptions!$X28/12,-(SUMIF($D$2:$EE$2,DE$2-1,$D27:$EE27)/12)*(1+XLOOKUP(DE$2,Assumptions!$C$94:$M$94,Assumptions!$C$98:$M$98))))</f>
        <v>-5744.23241</v>
      </c>
      <c r="DF27" s="54">
        <f t="array" ref="DF27">-(IF(DF$2=1,Assumptions!$X28/12,-(SUMIF($D$2:$EE$2,DF$2-1,$D27:$EE27)/12)*(1+XLOOKUP(DF$2,Assumptions!$C$94:$M$94,Assumptions!$C$98:$M$98))))</f>
        <v>-5744.23241</v>
      </c>
      <c r="DG27" s="54">
        <f t="array" ref="DG27">-(IF(DG$2=1,Assumptions!$X28/12,-(SUMIF($D$2:$EE$2,DG$2-1,$D27:$EE27)/12)*(1+XLOOKUP(DG$2,Assumptions!$C$94:$M$94,Assumptions!$C$98:$M$98))))</f>
        <v>-5744.23241</v>
      </c>
      <c r="DH27" s="54">
        <f t="array" ref="DH27">-(IF(DH$2=1,Assumptions!$X28/12,-(SUMIF($D$2:$EE$2,DH$2-1,$D27:$EE27)/12)*(1+XLOOKUP(DH$2,Assumptions!$C$94:$M$94,Assumptions!$C$98:$M$98))))</f>
        <v>-5916.559382</v>
      </c>
      <c r="DI27" s="54">
        <f t="array" ref="DI27">-(IF(DI$2=1,Assumptions!$X28/12,-(SUMIF($D$2:$EE$2,DI$2-1,$D27:$EE27)/12)*(1+XLOOKUP(DI$2,Assumptions!$C$94:$M$94,Assumptions!$C$98:$M$98))))</f>
        <v>-5916.559382</v>
      </c>
      <c r="DJ27" s="54">
        <f t="array" ref="DJ27">-(IF(DJ$2=1,Assumptions!$X28/12,-(SUMIF($D$2:$EE$2,DJ$2-1,$D27:$EE27)/12)*(1+XLOOKUP(DJ$2,Assumptions!$C$94:$M$94,Assumptions!$C$98:$M$98))))</f>
        <v>-5916.559382</v>
      </c>
      <c r="DK27" s="54">
        <f t="array" ref="DK27">-(IF(DK$2=1,Assumptions!$X28/12,-(SUMIF($D$2:$EE$2,DK$2-1,$D27:$EE27)/12)*(1+XLOOKUP(DK$2,Assumptions!$C$94:$M$94,Assumptions!$C$98:$M$98))))</f>
        <v>-5916.559382</v>
      </c>
      <c r="DL27" s="54">
        <f t="array" ref="DL27">-(IF(DL$2=1,Assumptions!$X28/12,-(SUMIF($D$2:$EE$2,DL$2-1,$D27:$EE27)/12)*(1+XLOOKUP(DL$2,Assumptions!$C$94:$M$94,Assumptions!$C$98:$M$98))))</f>
        <v>-5916.559382</v>
      </c>
      <c r="DM27" s="54">
        <f t="array" ref="DM27">-(IF(DM$2=1,Assumptions!$X28/12,-(SUMIF($D$2:$EE$2,DM$2-1,$D27:$EE27)/12)*(1+XLOOKUP(DM$2,Assumptions!$C$94:$M$94,Assumptions!$C$98:$M$98))))</f>
        <v>-5916.559382</v>
      </c>
      <c r="DN27" s="54">
        <f t="array" ref="DN27">-(IF(DN$2=1,Assumptions!$X28/12,-(SUMIF($D$2:$EE$2,DN$2-1,$D27:$EE27)/12)*(1+XLOOKUP(DN$2,Assumptions!$C$94:$M$94,Assumptions!$C$98:$M$98))))</f>
        <v>-5916.559382</v>
      </c>
      <c r="DO27" s="54">
        <f t="array" ref="DO27">-(IF(DO$2=1,Assumptions!$X28/12,-(SUMIF($D$2:$EE$2,DO$2-1,$D27:$EE27)/12)*(1+XLOOKUP(DO$2,Assumptions!$C$94:$M$94,Assumptions!$C$98:$M$98))))</f>
        <v>-5916.559382</v>
      </c>
      <c r="DP27" s="54">
        <f t="array" ref="DP27">-(IF(DP$2=1,Assumptions!$X28/12,-(SUMIF($D$2:$EE$2,DP$2-1,$D27:$EE27)/12)*(1+XLOOKUP(DP$2,Assumptions!$C$94:$M$94,Assumptions!$C$98:$M$98))))</f>
        <v>-5916.559382</v>
      </c>
      <c r="DQ27" s="54">
        <f t="array" ref="DQ27">-(IF(DQ$2=1,Assumptions!$X28/12,-(SUMIF($D$2:$EE$2,DQ$2-1,$D27:$EE27)/12)*(1+XLOOKUP(DQ$2,Assumptions!$C$94:$M$94,Assumptions!$C$98:$M$98))))</f>
        <v>-5916.559382</v>
      </c>
      <c r="DR27" s="54">
        <f t="array" ref="DR27">-(IF(DR$2=1,Assumptions!$X28/12,-(SUMIF($D$2:$EE$2,DR$2-1,$D27:$EE27)/12)*(1+XLOOKUP(DR$2,Assumptions!$C$94:$M$94,Assumptions!$C$98:$M$98))))</f>
        <v>-5916.559382</v>
      </c>
      <c r="DS27" s="54">
        <f t="array" ref="DS27">-(IF(DS$2=1,Assumptions!$X28/12,-(SUMIF($D$2:$EE$2,DS$2-1,$D27:$EE27)/12)*(1+XLOOKUP(DS$2,Assumptions!$C$94:$M$94,Assumptions!$C$98:$M$98))))</f>
        <v>-5916.559382</v>
      </c>
      <c r="DT27" s="54">
        <f t="array" ref="DT27">-(IF(DT$2=1,Assumptions!$X28/12,-(SUMIF($D$2:$EE$2,DT$2-1,$D27:$EE27)/12)*(1+XLOOKUP(DT$2,Assumptions!$C$94:$M$94,Assumptions!$C$98:$M$98))))</f>
        <v>-6094.056164</v>
      </c>
      <c r="DU27" s="54">
        <f t="array" ref="DU27">-(IF(DU$2=1,Assumptions!$X28/12,-(SUMIF($D$2:$EE$2,DU$2-1,$D27:$EE27)/12)*(1+XLOOKUP(DU$2,Assumptions!$C$94:$M$94,Assumptions!$C$98:$M$98))))</f>
        <v>-6094.056164</v>
      </c>
      <c r="DV27" s="54">
        <f t="array" ref="DV27">-(IF(DV$2=1,Assumptions!$X28/12,-(SUMIF($D$2:$EE$2,DV$2-1,$D27:$EE27)/12)*(1+XLOOKUP(DV$2,Assumptions!$C$94:$M$94,Assumptions!$C$98:$M$98))))</f>
        <v>-6094.056164</v>
      </c>
      <c r="DW27" s="54">
        <f t="array" ref="DW27">-(IF(DW$2=1,Assumptions!$X28/12,-(SUMIF($D$2:$EE$2,DW$2-1,$D27:$EE27)/12)*(1+XLOOKUP(DW$2,Assumptions!$C$94:$M$94,Assumptions!$C$98:$M$98))))</f>
        <v>-6094.056164</v>
      </c>
      <c r="DX27" s="54">
        <f t="array" ref="DX27">-(IF(DX$2=1,Assumptions!$X28/12,-(SUMIF($D$2:$EE$2,DX$2-1,$D27:$EE27)/12)*(1+XLOOKUP(DX$2,Assumptions!$C$94:$M$94,Assumptions!$C$98:$M$98))))</f>
        <v>-6094.056164</v>
      </c>
      <c r="DY27" s="54">
        <f t="array" ref="DY27">-(IF(DY$2=1,Assumptions!$X28/12,-(SUMIF($D$2:$EE$2,DY$2-1,$D27:$EE27)/12)*(1+XLOOKUP(DY$2,Assumptions!$C$94:$M$94,Assumptions!$C$98:$M$98))))</f>
        <v>-6094.056164</v>
      </c>
      <c r="DZ27" s="54">
        <f t="array" ref="DZ27">-(IF(DZ$2=1,Assumptions!$X28/12,-(SUMIF($D$2:$EE$2,DZ$2-1,$D27:$EE27)/12)*(1+XLOOKUP(DZ$2,Assumptions!$C$94:$M$94,Assumptions!$C$98:$M$98))))</f>
        <v>-6094.056164</v>
      </c>
      <c r="EA27" s="54">
        <f t="array" ref="EA27">-(IF(EA$2=1,Assumptions!$X28/12,-(SUMIF($D$2:$EE$2,EA$2-1,$D27:$EE27)/12)*(1+XLOOKUP(EA$2,Assumptions!$C$94:$M$94,Assumptions!$C$98:$M$98))))</f>
        <v>-6094.056164</v>
      </c>
      <c r="EB27" s="54">
        <f t="array" ref="EB27">-(IF(EB$2=1,Assumptions!$X28/12,-(SUMIF($D$2:$EE$2,EB$2-1,$D27:$EE27)/12)*(1+XLOOKUP(EB$2,Assumptions!$C$94:$M$94,Assumptions!$C$98:$M$98))))</f>
        <v>-6094.056164</v>
      </c>
      <c r="EC27" s="54">
        <f t="array" ref="EC27">-(IF(EC$2=1,Assumptions!$X28/12,-(SUMIF($D$2:$EE$2,EC$2-1,$D27:$EE27)/12)*(1+XLOOKUP(EC$2,Assumptions!$C$94:$M$94,Assumptions!$C$98:$M$98))))</f>
        <v>-6094.056164</v>
      </c>
      <c r="ED27" s="54">
        <f t="array" ref="ED27">-(IF(ED$2=1,Assumptions!$X28/12,-(SUMIF($D$2:$EE$2,ED$2-1,$D27:$EE27)/12)*(1+XLOOKUP(ED$2,Assumptions!$C$94:$M$94,Assumptions!$C$98:$M$98))))</f>
        <v>-6094.056164</v>
      </c>
      <c r="EE27" s="54">
        <f t="array" ref="EE27">-(IF(EE$2=1,Assumptions!$X28/12,-(SUMIF($D$2:$EE$2,EE$2-1,$D27:$EE27)/12)*(1+XLOOKUP(EE$2,Assumptions!$C$94:$M$94,Assumptions!$C$98:$M$98))))</f>
        <v>-6094.056164</v>
      </c>
    </row>
    <row r="28" ht="15.75" customHeight="1">
      <c r="A28" s="1"/>
      <c r="B28" s="1"/>
      <c r="C28" s="1" t="str">
        <f>Assumptions!J29</f>
        <v>Marketing</v>
      </c>
      <c r="D28" s="54">
        <f t="array" ref="D28">-(IF(D$2=1,Assumptions!$X29/12,-(SUMIF($D$2:$EE$2,D$2-1,$D28:$EE28)/12)*(1+XLOOKUP(D$2,Assumptions!$C$94:$M$94,Assumptions!$C$98:$M$98))))</f>
        <v>-1317.280733</v>
      </c>
      <c r="E28" s="54">
        <f t="array" ref="E28">-(IF(E$2=1,Assumptions!$X29/12,-(SUMIF($D$2:$EE$2,E$2-1,$D28:$EE28)/12)*(1+XLOOKUP(E$2,Assumptions!$C$94:$M$94,Assumptions!$C$98:$M$98))))</f>
        <v>-1317.280733</v>
      </c>
      <c r="F28" s="54">
        <f t="array" ref="F28">-(IF(F$2=1,Assumptions!$X29/12,-(SUMIF($D$2:$EE$2,F$2-1,$D28:$EE28)/12)*(1+XLOOKUP(F$2,Assumptions!$C$94:$M$94,Assumptions!$C$98:$M$98))))</f>
        <v>-1317.280733</v>
      </c>
      <c r="G28" s="54">
        <f t="array" ref="G28">-(IF(G$2=1,Assumptions!$X29/12,-(SUMIF($D$2:$EE$2,G$2-1,$D28:$EE28)/12)*(1+XLOOKUP(G$2,Assumptions!$C$94:$M$94,Assumptions!$C$98:$M$98))))</f>
        <v>-1317.280733</v>
      </c>
      <c r="H28" s="54">
        <f t="array" ref="H28">-(IF(H$2=1,Assumptions!$X29/12,-(SUMIF($D$2:$EE$2,H$2-1,$D28:$EE28)/12)*(1+XLOOKUP(H$2,Assumptions!$C$94:$M$94,Assumptions!$C$98:$M$98))))</f>
        <v>-1317.280733</v>
      </c>
      <c r="I28" s="54">
        <f t="array" ref="I28">-(IF(I$2=1,Assumptions!$X29/12,-(SUMIF($D$2:$EE$2,I$2-1,$D28:$EE28)/12)*(1+XLOOKUP(I$2,Assumptions!$C$94:$M$94,Assumptions!$C$98:$M$98))))</f>
        <v>-1317.280733</v>
      </c>
      <c r="J28" s="54">
        <f t="array" ref="J28">-(IF(J$2=1,Assumptions!$X29/12,-(SUMIF($D$2:$EE$2,J$2-1,$D28:$EE28)/12)*(1+XLOOKUP(J$2,Assumptions!$C$94:$M$94,Assumptions!$C$98:$M$98))))</f>
        <v>-1317.280733</v>
      </c>
      <c r="K28" s="54">
        <f t="array" ref="K28">-(IF(K$2=1,Assumptions!$X29/12,-(SUMIF($D$2:$EE$2,K$2-1,$D28:$EE28)/12)*(1+XLOOKUP(K$2,Assumptions!$C$94:$M$94,Assumptions!$C$98:$M$98))))</f>
        <v>-1317.280733</v>
      </c>
      <c r="L28" s="54">
        <f t="array" ref="L28">-(IF(L$2=1,Assumptions!$X29/12,-(SUMIF($D$2:$EE$2,L$2-1,$D28:$EE28)/12)*(1+XLOOKUP(L$2,Assumptions!$C$94:$M$94,Assumptions!$C$98:$M$98))))</f>
        <v>-1317.280733</v>
      </c>
      <c r="M28" s="54">
        <f t="array" ref="M28">-(IF(M$2=1,Assumptions!$X29/12,-(SUMIF($D$2:$EE$2,M$2-1,$D28:$EE28)/12)*(1+XLOOKUP(M$2,Assumptions!$C$94:$M$94,Assumptions!$C$98:$M$98))))</f>
        <v>-1317.280733</v>
      </c>
      <c r="N28" s="54">
        <f t="array" ref="N28">-(IF(N$2=1,Assumptions!$X29/12,-(SUMIF($D$2:$EE$2,N$2-1,$D28:$EE28)/12)*(1+XLOOKUP(N$2,Assumptions!$C$94:$M$94,Assumptions!$C$98:$M$98))))</f>
        <v>-1317.280733</v>
      </c>
      <c r="O28" s="54">
        <f t="array" ref="O28">-(IF(O$2=1,Assumptions!$X29/12,-(SUMIF($D$2:$EE$2,O$2-1,$D28:$EE28)/12)*(1+XLOOKUP(O$2,Assumptions!$C$94:$M$94,Assumptions!$C$98:$M$98))))</f>
        <v>-1317.280733</v>
      </c>
      <c r="P28" s="54">
        <f t="array" ref="P28">-(IF(P$2=1,Assumptions!$X29/12,-(SUMIF($D$2:$EE$2,P$2-1,$D28:$EE28)/12)*(1+XLOOKUP(P$2,Assumptions!$C$94:$M$94,Assumptions!$C$98:$M$98))))</f>
        <v>-1356.799155</v>
      </c>
      <c r="Q28" s="54">
        <f t="array" ref="Q28">-(IF(Q$2=1,Assumptions!$X29/12,-(SUMIF($D$2:$EE$2,Q$2-1,$D28:$EE28)/12)*(1+XLOOKUP(Q$2,Assumptions!$C$94:$M$94,Assumptions!$C$98:$M$98))))</f>
        <v>-1356.799155</v>
      </c>
      <c r="R28" s="54">
        <f t="array" ref="R28">-(IF(R$2=1,Assumptions!$X29/12,-(SUMIF($D$2:$EE$2,R$2-1,$D28:$EE28)/12)*(1+XLOOKUP(R$2,Assumptions!$C$94:$M$94,Assumptions!$C$98:$M$98))))</f>
        <v>-1356.799155</v>
      </c>
      <c r="S28" s="54">
        <f t="array" ref="S28">-(IF(S$2=1,Assumptions!$X29/12,-(SUMIF($D$2:$EE$2,S$2-1,$D28:$EE28)/12)*(1+XLOOKUP(S$2,Assumptions!$C$94:$M$94,Assumptions!$C$98:$M$98))))</f>
        <v>-1356.799155</v>
      </c>
      <c r="T28" s="54">
        <f t="array" ref="T28">-(IF(T$2=1,Assumptions!$X29/12,-(SUMIF($D$2:$EE$2,T$2-1,$D28:$EE28)/12)*(1+XLOOKUP(T$2,Assumptions!$C$94:$M$94,Assumptions!$C$98:$M$98))))</f>
        <v>-1356.799155</v>
      </c>
      <c r="U28" s="54">
        <f t="array" ref="U28">-(IF(U$2=1,Assumptions!$X29/12,-(SUMIF($D$2:$EE$2,U$2-1,$D28:$EE28)/12)*(1+XLOOKUP(U$2,Assumptions!$C$94:$M$94,Assumptions!$C$98:$M$98))))</f>
        <v>-1356.799155</v>
      </c>
      <c r="V28" s="54">
        <f t="array" ref="V28">-(IF(V$2=1,Assumptions!$X29/12,-(SUMIF($D$2:$EE$2,V$2-1,$D28:$EE28)/12)*(1+XLOOKUP(V$2,Assumptions!$C$94:$M$94,Assumptions!$C$98:$M$98))))</f>
        <v>-1356.799155</v>
      </c>
      <c r="W28" s="54">
        <f t="array" ref="W28">-(IF(W$2=1,Assumptions!$X29/12,-(SUMIF($D$2:$EE$2,W$2-1,$D28:$EE28)/12)*(1+XLOOKUP(W$2,Assumptions!$C$94:$M$94,Assumptions!$C$98:$M$98))))</f>
        <v>-1356.799155</v>
      </c>
      <c r="X28" s="54">
        <f t="array" ref="X28">-(IF(X$2=1,Assumptions!$X29/12,-(SUMIF($D$2:$EE$2,X$2-1,$D28:$EE28)/12)*(1+XLOOKUP(X$2,Assumptions!$C$94:$M$94,Assumptions!$C$98:$M$98))))</f>
        <v>-1356.799155</v>
      </c>
      <c r="Y28" s="54">
        <f t="array" ref="Y28">-(IF(Y$2=1,Assumptions!$X29/12,-(SUMIF($D$2:$EE$2,Y$2-1,$D28:$EE28)/12)*(1+XLOOKUP(Y$2,Assumptions!$C$94:$M$94,Assumptions!$C$98:$M$98))))</f>
        <v>-1356.799155</v>
      </c>
      <c r="Z28" s="54">
        <f t="array" ref="Z28">-(IF(Z$2=1,Assumptions!$X29/12,-(SUMIF($D$2:$EE$2,Z$2-1,$D28:$EE28)/12)*(1+XLOOKUP(Z$2,Assumptions!$C$94:$M$94,Assumptions!$C$98:$M$98))))</f>
        <v>-1356.799155</v>
      </c>
      <c r="AA28" s="54">
        <f t="array" ref="AA28">-(IF(AA$2=1,Assumptions!$X29/12,-(SUMIF($D$2:$EE$2,AA$2-1,$D28:$EE28)/12)*(1+XLOOKUP(AA$2,Assumptions!$C$94:$M$94,Assumptions!$C$98:$M$98))))</f>
        <v>-1356.799155</v>
      </c>
      <c r="AB28" s="54">
        <f t="array" ref="AB28">-(IF(AB$2=1,Assumptions!$X29/12,-(SUMIF($D$2:$EE$2,AB$2-1,$D28:$EE28)/12)*(1+XLOOKUP(AB$2,Assumptions!$C$94:$M$94,Assumptions!$C$98:$M$98))))</f>
        <v>-1397.50313</v>
      </c>
      <c r="AC28" s="54">
        <f t="array" ref="AC28">-(IF(AC$2=1,Assumptions!$X29/12,-(SUMIF($D$2:$EE$2,AC$2-1,$D28:$EE28)/12)*(1+XLOOKUP(AC$2,Assumptions!$C$94:$M$94,Assumptions!$C$98:$M$98))))</f>
        <v>-1397.50313</v>
      </c>
      <c r="AD28" s="54">
        <f t="array" ref="AD28">-(IF(AD$2=1,Assumptions!$X29/12,-(SUMIF($D$2:$EE$2,AD$2-1,$D28:$EE28)/12)*(1+XLOOKUP(AD$2,Assumptions!$C$94:$M$94,Assumptions!$C$98:$M$98))))</f>
        <v>-1397.50313</v>
      </c>
      <c r="AE28" s="54">
        <f t="array" ref="AE28">-(IF(AE$2=1,Assumptions!$X29/12,-(SUMIF($D$2:$EE$2,AE$2-1,$D28:$EE28)/12)*(1+XLOOKUP(AE$2,Assumptions!$C$94:$M$94,Assumptions!$C$98:$M$98))))</f>
        <v>-1397.50313</v>
      </c>
      <c r="AF28" s="54">
        <f t="array" ref="AF28">-(IF(AF$2=1,Assumptions!$X29/12,-(SUMIF($D$2:$EE$2,AF$2-1,$D28:$EE28)/12)*(1+XLOOKUP(AF$2,Assumptions!$C$94:$M$94,Assumptions!$C$98:$M$98))))</f>
        <v>-1397.50313</v>
      </c>
      <c r="AG28" s="54">
        <f t="array" ref="AG28">-(IF(AG$2=1,Assumptions!$X29/12,-(SUMIF($D$2:$EE$2,AG$2-1,$D28:$EE28)/12)*(1+XLOOKUP(AG$2,Assumptions!$C$94:$M$94,Assumptions!$C$98:$M$98))))</f>
        <v>-1397.50313</v>
      </c>
      <c r="AH28" s="54">
        <f t="array" ref="AH28">-(IF(AH$2=1,Assumptions!$X29/12,-(SUMIF($D$2:$EE$2,AH$2-1,$D28:$EE28)/12)*(1+XLOOKUP(AH$2,Assumptions!$C$94:$M$94,Assumptions!$C$98:$M$98))))</f>
        <v>-1397.50313</v>
      </c>
      <c r="AI28" s="54">
        <f t="array" ref="AI28">-(IF(AI$2=1,Assumptions!$X29/12,-(SUMIF($D$2:$EE$2,AI$2-1,$D28:$EE28)/12)*(1+XLOOKUP(AI$2,Assumptions!$C$94:$M$94,Assumptions!$C$98:$M$98))))</f>
        <v>-1397.50313</v>
      </c>
      <c r="AJ28" s="54">
        <f t="array" ref="AJ28">-(IF(AJ$2=1,Assumptions!$X29/12,-(SUMIF($D$2:$EE$2,AJ$2-1,$D28:$EE28)/12)*(1+XLOOKUP(AJ$2,Assumptions!$C$94:$M$94,Assumptions!$C$98:$M$98))))</f>
        <v>-1397.50313</v>
      </c>
      <c r="AK28" s="54">
        <f t="array" ref="AK28">-(IF(AK$2=1,Assumptions!$X29/12,-(SUMIF($D$2:$EE$2,AK$2-1,$D28:$EE28)/12)*(1+XLOOKUP(AK$2,Assumptions!$C$94:$M$94,Assumptions!$C$98:$M$98))))</f>
        <v>-1397.50313</v>
      </c>
      <c r="AL28" s="54">
        <f t="array" ref="AL28">-(IF(AL$2=1,Assumptions!$X29/12,-(SUMIF($D$2:$EE$2,AL$2-1,$D28:$EE28)/12)*(1+XLOOKUP(AL$2,Assumptions!$C$94:$M$94,Assumptions!$C$98:$M$98))))</f>
        <v>-1397.50313</v>
      </c>
      <c r="AM28" s="54">
        <f t="array" ref="AM28">-(IF(AM$2=1,Assumptions!$X29/12,-(SUMIF($D$2:$EE$2,AM$2-1,$D28:$EE28)/12)*(1+XLOOKUP(AM$2,Assumptions!$C$94:$M$94,Assumptions!$C$98:$M$98))))</f>
        <v>-1397.50313</v>
      </c>
      <c r="AN28" s="54">
        <f t="array" ref="AN28">-(IF(AN$2=1,Assumptions!$X29/12,-(SUMIF($D$2:$EE$2,AN$2-1,$D28:$EE28)/12)*(1+XLOOKUP(AN$2,Assumptions!$C$94:$M$94,Assumptions!$C$98:$M$98))))</f>
        <v>-1439.428224</v>
      </c>
      <c r="AO28" s="54">
        <f t="array" ref="AO28">-(IF(AO$2=1,Assumptions!$X29/12,-(SUMIF($D$2:$EE$2,AO$2-1,$D28:$EE28)/12)*(1+XLOOKUP(AO$2,Assumptions!$C$94:$M$94,Assumptions!$C$98:$M$98))))</f>
        <v>-1439.428224</v>
      </c>
      <c r="AP28" s="54">
        <f t="array" ref="AP28">-(IF(AP$2=1,Assumptions!$X29/12,-(SUMIF($D$2:$EE$2,AP$2-1,$D28:$EE28)/12)*(1+XLOOKUP(AP$2,Assumptions!$C$94:$M$94,Assumptions!$C$98:$M$98))))</f>
        <v>-1439.428224</v>
      </c>
      <c r="AQ28" s="54">
        <f t="array" ref="AQ28">-(IF(AQ$2=1,Assumptions!$X29/12,-(SUMIF($D$2:$EE$2,AQ$2-1,$D28:$EE28)/12)*(1+XLOOKUP(AQ$2,Assumptions!$C$94:$M$94,Assumptions!$C$98:$M$98))))</f>
        <v>-1439.428224</v>
      </c>
      <c r="AR28" s="54">
        <f t="array" ref="AR28">-(IF(AR$2=1,Assumptions!$X29/12,-(SUMIF($D$2:$EE$2,AR$2-1,$D28:$EE28)/12)*(1+XLOOKUP(AR$2,Assumptions!$C$94:$M$94,Assumptions!$C$98:$M$98))))</f>
        <v>-1439.428224</v>
      </c>
      <c r="AS28" s="54">
        <f t="array" ref="AS28">-(IF(AS$2=1,Assumptions!$X29/12,-(SUMIF($D$2:$EE$2,AS$2-1,$D28:$EE28)/12)*(1+XLOOKUP(AS$2,Assumptions!$C$94:$M$94,Assumptions!$C$98:$M$98))))</f>
        <v>-1439.428224</v>
      </c>
      <c r="AT28" s="54">
        <f t="array" ref="AT28">-(IF(AT$2=1,Assumptions!$X29/12,-(SUMIF($D$2:$EE$2,AT$2-1,$D28:$EE28)/12)*(1+XLOOKUP(AT$2,Assumptions!$C$94:$M$94,Assumptions!$C$98:$M$98))))</f>
        <v>-1439.428224</v>
      </c>
      <c r="AU28" s="54">
        <f t="array" ref="AU28">-(IF(AU$2=1,Assumptions!$X29/12,-(SUMIF($D$2:$EE$2,AU$2-1,$D28:$EE28)/12)*(1+XLOOKUP(AU$2,Assumptions!$C$94:$M$94,Assumptions!$C$98:$M$98))))</f>
        <v>-1439.428224</v>
      </c>
      <c r="AV28" s="54">
        <f t="array" ref="AV28">-(IF(AV$2=1,Assumptions!$X29/12,-(SUMIF($D$2:$EE$2,AV$2-1,$D28:$EE28)/12)*(1+XLOOKUP(AV$2,Assumptions!$C$94:$M$94,Assumptions!$C$98:$M$98))))</f>
        <v>-1439.428224</v>
      </c>
      <c r="AW28" s="54">
        <f t="array" ref="AW28">-(IF(AW$2=1,Assumptions!$X29/12,-(SUMIF($D$2:$EE$2,AW$2-1,$D28:$EE28)/12)*(1+XLOOKUP(AW$2,Assumptions!$C$94:$M$94,Assumptions!$C$98:$M$98))))</f>
        <v>-1439.428224</v>
      </c>
      <c r="AX28" s="54">
        <f t="array" ref="AX28">-(IF(AX$2=1,Assumptions!$X29/12,-(SUMIF($D$2:$EE$2,AX$2-1,$D28:$EE28)/12)*(1+XLOOKUP(AX$2,Assumptions!$C$94:$M$94,Assumptions!$C$98:$M$98))))</f>
        <v>-1439.428224</v>
      </c>
      <c r="AY28" s="54">
        <f t="array" ref="AY28">-(IF(AY$2=1,Assumptions!$X29/12,-(SUMIF($D$2:$EE$2,AY$2-1,$D28:$EE28)/12)*(1+XLOOKUP(AY$2,Assumptions!$C$94:$M$94,Assumptions!$C$98:$M$98))))</f>
        <v>-1439.428224</v>
      </c>
      <c r="AZ28" s="54">
        <f t="array" ref="AZ28">-(IF(AZ$2=1,Assumptions!$X29/12,-(SUMIF($D$2:$EE$2,AZ$2-1,$D28:$EE28)/12)*(1+XLOOKUP(AZ$2,Assumptions!$C$94:$M$94,Assumptions!$C$98:$M$98))))</f>
        <v>-1482.611071</v>
      </c>
      <c r="BA28" s="54">
        <f t="array" ref="BA28">-(IF(BA$2=1,Assumptions!$X29/12,-(SUMIF($D$2:$EE$2,BA$2-1,$D28:$EE28)/12)*(1+XLOOKUP(BA$2,Assumptions!$C$94:$M$94,Assumptions!$C$98:$M$98))))</f>
        <v>-1482.611071</v>
      </c>
      <c r="BB28" s="54">
        <f t="array" ref="BB28">-(IF(BB$2=1,Assumptions!$X29/12,-(SUMIF($D$2:$EE$2,BB$2-1,$D28:$EE28)/12)*(1+XLOOKUP(BB$2,Assumptions!$C$94:$M$94,Assumptions!$C$98:$M$98))))</f>
        <v>-1482.611071</v>
      </c>
      <c r="BC28" s="54">
        <f t="array" ref="BC28">-(IF(BC$2=1,Assumptions!$X29/12,-(SUMIF($D$2:$EE$2,BC$2-1,$D28:$EE28)/12)*(1+XLOOKUP(BC$2,Assumptions!$C$94:$M$94,Assumptions!$C$98:$M$98))))</f>
        <v>-1482.611071</v>
      </c>
      <c r="BD28" s="54">
        <f t="array" ref="BD28">-(IF(BD$2=1,Assumptions!$X29/12,-(SUMIF($D$2:$EE$2,BD$2-1,$D28:$EE28)/12)*(1+XLOOKUP(BD$2,Assumptions!$C$94:$M$94,Assumptions!$C$98:$M$98))))</f>
        <v>-1482.611071</v>
      </c>
      <c r="BE28" s="54">
        <f t="array" ref="BE28">-(IF(BE$2=1,Assumptions!$X29/12,-(SUMIF($D$2:$EE$2,BE$2-1,$D28:$EE28)/12)*(1+XLOOKUP(BE$2,Assumptions!$C$94:$M$94,Assumptions!$C$98:$M$98))))</f>
        <v>-1482.611071</v>
      </c>
      <c r="BF28" s="54">
        <f t="array" ref="BF28">-(IF(BF$2=1,Assumptions!$X29/12,-(SUMIF($D$2:$EE$2,BF$2-1,$D28:$EE28)/12)*(1+XLOOKUP(BF$2,Assumptions!$C$94:$M$94,Assumptions!$C$98:$M$98))))</f>
        <v>-1482.611071</v>
      </c>
      <c r="BG28" s="54">
        <f t="array" ref="BG28">-(IF(BG$2=1,Assumptions!$X29/12,-(SUMIF($D$2:$EE$2,BG$2-1,$D28:$EE28)/12)*(1+XLOOKUP(BG$2,Assumptions!$C$94:$M$94,Assumptions!$C$98:$M$98))))</f>
        <v>-1482.611071</v>
      </c>
      <c r="BH28" s="54">
        <f t="array" ref="BH28">-(IF(BH$2=1,Assumptions!$X29/12,-(SUMIF($D$2:$EE$2,BH$2-1,$D28:$EE28)/12)*(1+XLOOKUP(BH$2,Assumptions!$C$94:$M$94,Assumptions!$C$98:$M$98))))</f>
        <v>-1482.611071</v>
      </c>
      <c r="BI28" s="54">
        <f t="array" ref="BI28">-(IF(BI$2=1,Assumptions!$X29/12,-(SUMIF($D$2:$EE$2,BI$2-1,$D28:$EE28)/12)*(1+XLOOKUP(BI$2,Assumptions!$C$94:$M$94,Assumptions!$C$98:$M$98))))</f>
        <v>-1482.611071</v>
      </c>
      <c r="BJ28" s="54">
        <f t="array" ref="BJ28">-(IF(BJ$2=1,Assumptions!$X29/12,-(SUMIF($D$2:$EE$2,BJ$2-1,$D28:$EE28)/12)*(1+XLOOKUP(BJ$2,Assumptions!$C$94:$M$94,Assumptions!$C$98:$M$98))))</f>
        <v>-1482.611071</v>
      </c>
      <c r="BK28" s="54">
        <f t="array" ref="BK28">-(IF(BK$2=1,Assumptions!$X29/12,-(SUMIF($D$2:$EE$2,BK$2-1,$D28:$EE28)/12)*(1+XLOOKUP(BK$2,Assumptions!$C$94:$M$94,Assumptions!$C$98:$M$98))))</f>
        <v>-1482.611071</v>
      </c>
      <c r="BL28" s="54">
        <f t="array" ref="BL28">-(IF(BL$2=1,Assumptions!$X29/12,-(SUMIF($D$2:$EE$2,BL$2-1,$D28:$EE28)/12)*(1+XLOOKUP(BL$2,Assumptions!$C$94:$M$94,Assumptions!$C$98:$M$98))))</f>
        <v>-1527.089403</v>
      </c>
      <c r="BM28" s="54">
        <f t="array" ref="BM28">-(IF(BM$2=1,Assumptions!$X29/12,-(SUMIF($D$2:$EE$2,BM$2-1,$D28:$EE28)/12)*(1+XLOOKUP(BM$2,Assumptions!$C$94:$M$94,Assumptions!$C$98:$M$98))))</f>
        <v>-1527.089403</v>
      </c>
      <c r="BN28" s="54">
        <f t="array" ref="BN28">-(IF(BN$2=1,Assumptions!$X29/12,-(SUMIF($D$2:$EE$2,BN$2-1,$D28:$EE28)/12)*(1+XLOOKUP(BN$2,Assumptions!$C$94:$M$94,Assumptions!$C$98:$M$98))))</f>
        <v>-1527.089403</v>
      </c>
      <c r="BO28" s="54">
        <f t="array" ref="BO28">-(IF(BO$2=1,Assumptions!$X29/12,-(SUMIF($D$2:$EE$2,BO$2-1,$D28:$EE28)/12)*(1+XLOOKUP(BO$2,Assumptions!$C$94:$M$94,Assumptions!$C$98:$M$98))))</f>
        <v>-1527.089403</v>
      </c>
      <c r="BP28" s="54">
        <f t="array" ref="BP28">-(IF(BP$2=1,Assumptions!$X29/12,-(SUMIF($D$2:$EE$2,BP$2-1,$D28:$EE28)/12)*(1+XLOOKUP(BP$2,Assumptions!$C$94:$M$94,Assumptions!$C$98:$M$98))))</f>
        <v>-1527.089403</v>
      </c>
      <c r="BQ28" s="54">
        <f t="array" ref="BQ28">-(IF(BQ$2=1,Assumptions!$X29/12,-(SUMIF($D$2:$EE$2,BQ$2-1,$D28:$EE28)/12)*(1+XLOOKUP(BQ$2,Assumptions!$C$94:$M$94,Assumptions!$C$98:$M$98))))</f>
        <v>-1527.089403</v>
      </c>
      <c r="BR28" s="54">
        <f t="array" ref="BR28">-(IF(BR$2=1,Assumptions!$X29/12,-(SUMIF($D$2:$EE$2,BR$2-1,$D28:$EE28)/12)*(1+XLOOKUP(BR$2,Assumptions!$C$94:$M$94,Assumptions!$C$98:$M$98))))</f>
        <v>-1527.089403</v>
      </c>
      <c r="BS28" s="54">
        <f t="array" ref="BS28">-(IF(BS$2=1,Assumptions!$X29/12,-(SUMIF($D$2:$EE$2,BS$2-1,$D28:$EE28)/12)*(1+XLOOKUP(BS$2,Assumptions!$C$94:$M$94,Assumptions!$C$98:$M$98))))</f>
        <v>-1527.089403</v>
      </c>
      <c r="BT28" s="54">
        <f t="array" ref="BT28">-(IF(BT$2=1,Assumptions!$X29/12,-(SUMIF($D$2:$EE$2,BT$2-1,$D28:$EE28)/12)*(1+XLOOKUP(BT$2,Assumptions!$C$94:$M$94,Assumptions!$C$98:$M$98))))</f>
        <v>-1527.089403</v>
      </c>
      <c r="BU28" s="54">
        <f t="array" ref="BU28">-(IF(BU$2=1,Assumptions!$X29/12,-(SUMIF($D$2:$EE$2,BU$2-1,$D28:$EE28)/12)*(1+XLOOKUP(BU$2,Assumptions!$C$94:$M$94,Assumptions!$C$98:$M$98))))</f>
        <v>-1527.089403</v>
      </c>
      <c r="BV28" s="54">
        <f t="array" ref="BV28">-(IF(BV$2=1,Assumptions!$X29/12,-(SUMIF($D$2:$EE$2,BV$2-1,$D28:$EE28)/12)*(1+XLOOKUP(BV$2,Assumptions!$C$94:$M$94,Assumptions!$C$98:$M$98))))</f>
        <v>-1527.089403</v>
      </c>
      <c r="BW28" s="54">
        <f t="array" ref="BW28">-(IF(BW$2=1,Assumptions!$X29/12,-(SUMIF($D$2:$EE$2,BW$2-1,$D28:$EE28)/12)*(1+XLOOKUP(BW$2,Assumptions!$C$94:$M$94,Assumptions!$C$98:$M$98))))</f>
        <v>-1527.089403</v>
      </c>
      <c r="BX28" s="54">
        <f t="array" ref="BX28">-(IF(BX$2=1,Assumptions!$X29/12,-(SUMIF($D$2:$EE$2,BX$2-1,$D28:$EE28)/12)*(1+XLOOKUP(BX$2,Assumptions!$C$94:$M$94,Assumptions!$C$98:$M$98))))</f>
        <v>-1572.902085</v>
      </c>
      <c r="BY28" s="54">
        <f t="array" ref="BY28">-(IF(BY$2=1,Assumptions!$X29/12,-(SUMIF($D$2:$EE$2,BY$2-1,$D28:$EE28)/12)*(1+XLOOKUP(BY$2,Assumptions!$C$94:$M$94,Assumptions!$C$98:$M$98))))</f>
        <v>-1572.902085</v>
      </c>
      <c r="BZ28" s="54">
        <f t="array" ref="BZ28">-(IF(BZ$2=1,Assumptions!$X29/12,-(SUMIF($D$2:$EE$2,BZ$2-1,$D28:$EE28)/12)*(1+XLOOKUP(BZ$2,Assumptions!$C$94:$M$94,Assumptions!$C$98:$M$98))))</f>
        <v>-1572.902085</v>
      </c>
      <c r="CA28" s="54">
        <f t="array" ref="CA28">-(IF(CA$2=1,Assumptions!$X29/12,-(SUMIF($D$2:$EE$2,CA$2-1,$D28:$EE28)/12)*(1+XLOOKUP(CA$2,Assumptions!$C$94:$M$94,Assumptions!$C$98:$M$98))))</f>
        <v>-1572.902085</v>
      </c>
      <c r="CB28" s="54">
        <f t="array" ref="CB28">-(IF(CB$2=1,Assumptions!$X29/12,-(SUMIF($D$2:$EE$2,CB$2-1,$D28:$EE28)/12)*(1+XLOOKUP(CB$2,Assumptions!$C$94:$M$94,Assumptions!$C$98:$M$98))))</f>
        <v>-1572.902085</v>
      </c>
      <c r="CC28" s="54">
        <f t="array" ref="CC28">-(IF(CC$2=1,Assumptions!$X29/12,-(SUMIF($D$2:$EE$2,CC$2-1,$D28:$EE28)/12)*(1+XLOOKUP(CC$2,Assumptions!$C$94:$M$94,Assumptions!$C$98:$M$98))))</f>
        <v>-1572.902085</v>
      </c>
      <c r="CD28" s="54">
        <f t="array" ref="CD28">-(IF(CD$2=1,Assumptions!$X29/12,-(SUMIF($D$2:$EE$2,CD$2-1,$D28:$EE28)/12)*(1+XLOOKUP(CD$2,Assumptions!$C$94:$M$94,Assumptions!$C$98:$M$98))))</f>
        <v>-1572.902085</v>
      </c>
      <c r="CE28" s="54">
        <f t="array" ref="CE28">-(IF(CE$2=1,Assumptions!$X29/12,-(SUMIF($D$2:$EE$2,CE$2-1,$D28:$EE28)/12)*(1+XLOOKUP(CE$2,Assumptions!$C$94:$M$94,Assumptions!$C$98:$M$98))))</f>
        <v>-1572.902085</v>
      </c>
      <c r="CF28" s="54">
        <f t="array" ref="CF28">-(IF(CF$2=1,Assumptions!$X29/12,-(SUMIF($D$2:$EE$2,CF$2-1,$D28:$EE28)/12)*(1+XLOOKUP(CF$2,Assumptions!$C$94:$M$94,Assumptions!$C$98:$M$98))))</f>
        <v>-1572.902085</v>
      </c>
      <c r="CG28" s="54">
        <f t="array" ref="CG28">-(IF(CG$2=1,Assumptions!$X29/12,-(SUMIF($D$2:$EE$2,CG$2-1,$D28:$EE28)/12)*(1+XLOOKUP(CG$2,Assumptions!$C$94:$M$94,Assumptions!$C$98:$M$98))))</f>
        <v>-1572.902085</v>
      </c>
      <c r="CH28" s="54">
        <f t="array" ref="CH28">-(IF(CH$2=1,Assumptions!$X29/12,-(SUMIF($D$2:$EE$2,CH$2-1,$D28:$EE28)/12)*(1+XLOOKUP(CH$2,Assumptions!$C$94:$M$94,Assumptions!$C$98:$M$98))))</f>
        <v>-1572.902085</v>
      </c>
      <c r="CI28" s="54">
        <f t="array" ref="CI28">-(IF(CI$2=1,Assumptions!$X29/12,-(SUMIF($D$2:$EE$2,CI$2-1,$D28:$EE28)/12)*(1+XLOOKUP(CI$2,Assumptions!$C$94:$M$94,Assumptions!$C$98:$M$98))))</f>
        <v>-1572.902085</v>
      </c>
      <c r="CJ28" s="54">
        <f t="array" ref="CJ28">-(IF(CJ$2=1,Assumptions!$X29/12,-(SUMIF($D$2:$EE$2,CJ$2-1,$D28:$EE28)/12)*(1+XLOOKUP(CJ$2,Assumptions!$C$94:$M$94,Assumptions!$C$98:$M$98))))</f>
        <v>-1620.089147</v>
      </c>
      <c r="CK28" s="54">
        <f t="array" ref="CK28">-(IF(CK$2=1,Assumptions!$X29/12,-(SUMIF($D$2:$EE$2,CK$2-1,$D28:$EE28)/12)*(1+XLOOKUP(CK$2,Assumptions!$C$94:$M$94,Assumptions!$C$98:$M$98))))</f>
        <v>-1620.089147</v>
      </c>
      <c r="CL28" s="54">
        <f t="array" ref="CL28">-(IF(CL$2=1,Assumptions!$X29/12,-(SUMIF($D$2:$EE$2,CL$2-1,$D28:$EE28)/12)*(1+XLOOKUP(CL$2,Assumptions!$C$94:$M$94,Assumptions!$C$98:$M$98))))</f>
        <v>-1620.089147</v>
      </c>
      <c r="CM28" s="54">
        <f t="array" ref="CM28">-(IF(CM$2=1,Assumptions!$X29/12,-(SUMIF($D$2:$EE$2,CM$2-1,$D28:$EE28)/12)*(1+XLOOKUP(CM$2,Assumptions!$C$94:$M$94,Assumptions!$C$98:$M$98))))</f>
        <v>-1620.089147</v>
      </c>
      <c r="CN28" s="54">
        <f t="array" ref="CN28">-(IF(CN$2=1,Assumptions!$X29/12,-(SUMIF($D$2:$EE$2,CN$2-1,$D28:$EE28)/12)*(1+XLOOKUP(CN$2,Assumptions!$C$94:$M$94,Assumptions!$C$98:$M$98))))</f>
        <v>-1620.089147</v>
      </c>
      <c r="CO28" s="54">
        <f t="array" ref="CO28">-(IF(CO$2=1,Assumptions!$X29/12,-(SUMIF($D$2:$EE$2,CO$2-1,$D28:$EE28)/12)*(1+XLOOKUP(CO$2,Assumptions!$C$94:$M$94,Assumptions!$C$98:$M$98))))</f>
        <v>-1620.089147</v>
      </c>
      <c r="CP28" s="54">
        <f t="array" ref="CP28">-(IF(CP$2=1,Assumptions!$X29/12,-(SUMIF($D$2:$EE$2,CP$2-1,$D28:$EE28)/12)*(1+XLOOKUP(CP$2,Assumptions!$C$94:$M$94,Assumptions!$C$98:$M$98))))</f>
        <v>-1620.089147</v>
      </c>
      <c r="CQ28" s="54">
        <f t="array" ref="CQ28">-(IF(CQ$2=1,Assumptions!$X29/12,-(SUMIF($D$2:$EE$2,CQ$2-1,$D28:$EE28)/12)*(1+XLOOKUP(CQ$2,Assumptions!$C$94:$M$94,Assumptions!$C$98:$M$98))))</f>
        <v>-1620.089147</v>
      </c>
      <c r="CR28" s="54">
        <f t="array" ref="CR28">-(IF(CR$2=1,Assumptions!$X29/12,-(SUMIF($D$2:$EE$2,CR$2-1,$D28:$EE28)/12)*(1+XLOOKUP(CR$2,Assumptions!$C$94:$M$94,Assumptions!$C$98:$M$98))))</f>
        <v>-1620.089147</v>
      </c>
      <c r="CS28" s="54">
        <f t="array" ref="CS28">-(IF(CS$2=1,Assumptions!$X29/12,-(SUMIF($D$2:$EE$2,CS$2-1,$D28:$EE28)/12)*(1+XLOOKUP(CS$2,Assumptions!$C$94:$M$94,Assumptions!$C$98:$M$98))))</f>
        <v>-1620.089147</v>
      </c>
      <c r="CT28" s="54">
        <f t="array" ref="CT28">-(IF(CT$2=1,Assumptions!$X29/12,-(SUMIF($D$2:$EE$2,CT$2-1,$D28:$EE28)/12)*(1+XLOOKUP(CT$2,Assumptions!$C$94:$M$94,Assumptions!$C$98:$M$98))))</f>
        <v>-1620.089147</v>
      </c>
      <c r="CU28" s="54">
        <f t="array" ref="CU28">-(IF(CU$2=1,Assumptions!$X29/12,-(SUMIF($D$2:$EE$2,CU$2-1,$D28:$EE28)/12)*(1+XLOOKUP(CU$2,Assumptions!$C$94:$M$94,Assumptions!$C$98:$M$98))))</f>
        <v>-1620.089147</v>
      </c>
      <c r="CV28" s="54">
        <f t="array" ref="CV28">-(IF(CV$2=1,Assumptions!$X29/12,-(SUMIF($D$2:$EE$2,CV$2-1,$D28:$EE28)/12)*(1+XLOOKUP(CV$2,Assumptions!$C$94:$M$94,Assumptions!$C$98:$M$98))))</f>
        <v>-1668.691822</v>
      </c>
      <c r="CW28" s="54">
        <f t="array" ref="CW28">-(IF(CW$2=1,Assumptions!$X29/12,-(SUMIF($D$2:$EE$2,CW$2-1,$D28:$EE28)/12)*(1+XLOOKUP(CW$2,Assumptions!$C$94:$M$94,Assumptions!$C$98:$M$98))))</f>
        <v>-1668.691822</v>
      </c>
      <c r="CX28" s="54">
        <f t="array" ref="CX28">-(IF(CX$2=1,Assumptions!$X29/12,-(SUMIF($D$2:$EE$2,CX$2-1,$D28:$EE28)/12)*(1+XLOOKUP(CX$2,Assumptions!$C$94:$M$94,Assumptions!$C$98:$M$98))))</f>
        <v>-1668.691822</v>
      </c>
      <c r="CY28" s="54">
        <f t="array" ref="CY28">-(IF(CY$2=1,Assumptions!$X29/12,-(SUMIF($D$2:$EE$2,CY$2-1,$D28:$EE28)/12)*(1+XLOOKUP(CY$2,Assumptions!$C$94:$M$94,Assumptions!$C$98:$M$98))))</f>
        <v>-1668.691822</v>
      </c>
      <c r="CZ28" s="54">
        <f t="array" ref="CZ28">-(IF(CZ$2=1,Assumptions!$X29/12,-(SUMIF($D$2:$EE$2,CZ$2-1,$D28:$EE28)/12)*(1+XLOOKUP(CZ$2,Assumptions!$C$94:$M$94,Assumptions!$C$98:$M$98))))</f>
        <v>-1668.691822</v>
      </c>
      <c r="DA28" s="54">
        <f t="array" ref="DA28">-(IF(DA$2=1,Assumptions!$X29/12,-(SUMIF($D$2:$EE$2,DA$2-1,$D28:$EE28)/12)*(1+XLOOKUP(DA$2,Assumptions!$C$94:$M$94,Assumptions!$C$98:$M$98))))</f>
        <v>-1668.691822</v>
      </c>
      <c r="DB28" s="54">
        <f t="array" ref="DB28">-(IF(DB$2=1,Assumptions!$X29/12,-(SUMIF($D$2:$EE$2,DB$2-1,$D28:$EE28)/12)*(1+XLOOKUP(DB$2,Assumptions!$C$94:$M$94,Assumptions!$C$98:$M$98))))</f>
        <v>-1668.691822</v>
      </c>
      <c r="DC28" s="54">
        <f t="array" ref="DC28">-(IF(DC$2=1,Assumptions!$X29/12,-(SUMIF($D$2:$EE$2,DC$2-1,$D28:$EE28)/12)*(1+XLOOKUP(DC$2,Assumptions!$C$94:$M$94,Assumptions!$C$98:$M$98))))</f>
        <v>-1668.691822</v>
      </c>
      <c r="DD28" s="54">
        <f t="array" ref="DD28">-(IF(DD$2=1,Assumptions!$X29/12,-(SUMIF($D$2:$EE$2,DD$2-1,$D28:$EE28)/12)*(1+XLOOKUP(DD$2,Assumptions!$C$94:$M$94,Assumptions!$C$98:$M$98))))</f>
        <v>-1668.691822</v>
      </c>
      <c r="DE28" s="54">
        <f t="array" ref="DE28">-(IF(DE$2=1,Assumptions!$X29/12,-(SUMIF($D$2:$EE$2,DE$2-1,$D28:$EE28)/12)*(1+XLOOKUP(DE$2,Assumptions!$C$94:$M$94,Assumptions!$C$98:$M$98))))</f>
        <v>-1668.691822</v>
      </c>
      <c r="DF28" s="54">
        <f t="array" ref="DF28">-(IF(DF$2=1,Assumptions!$X29/12,-(SUMIF($D$2:$EE$2,DF$2-1,$D28:$EE28)/12)*(1+XLOOKUP(DF$2,Assumptions!$C$94:$M$94,Assumptions!$C$98:$M$98))))</f>
        <v>-1668.691822</v>
      </c>
      <c r="DG28" s="54">
        <f t="array" ref="DG28">-(IF(DG$2=1,Assumptions!$X29/12,-(SUMIF($D$2:$EE$2,DG$2-1,$D28:$EE28)/12)*(1+XLOOKUP(DG$2,Assumptions!$C$94:$M$94,Assumptions!$C$98:$M$98))))</f>
        <v>-1668.691822</v>
      </c>
      <c r="DH28" s="54">
        <f t="array" ref="DH28">-(IF(DH$2=1,Assumptions!$X29/12,-(SUMIF($D$2:$EE$2,DH$2-1,$D28:$EE28)/12)*(1+XLOOKUP(DH$2,Assumptions!$C$94:$M$94,Assumptions!$C$98:$M$98))))</f>
        <v>-1718.752576</v>
      </c>
      <c r="DI28" s="54">
        <f t="array" ref="DI28">-(IF(DI$2=1,Assumptions!$X29/12,-(SUMIF($D$2:$EE$2,DI$2-1,$D28:$EE28)/12)*(1+XLOOKUP(DI$2,Assumptions!$C$94:$M$94,Assumptions!$C$98:$M$98))))</f>
        <v>-1718.752576</v>
      </c>
      <c r="DJ28" s="54">
        <f t="array" ref="DJ28">-(IF(DJ$2=1,Assumptions!$X29/12,-(SUMIF($D$2:$EE$2,DJ$2-1,$D28:$EE28)/12)*(1+XLOOKUP(DJ$2,Assumptions!$C$94:$M$94,Assumptions!$C$98:$M$98))))</f>
        <v>-1718.752576</v>
      </c>
      <c r="DK28" s="54">
        <f t="array" ref="DK28">-(IF(DK$2=1,Assumptions!$X29/12,-(SUMIF($D$2:$EE$2,DK$2-1,$D28:$EE28)/12)*(1+XLOOKUP(DK$2,Assumptions!$C$94:$M$94,Assumptions!$C$98:$M$98))))</f>
        <v>-1718.752576</v>
      </c>
      <c r="DL28" s="54">
        <f t="array" ref="DL28">-(IF(DL$2=1,Assumptions!$X29/12,-(SUMIF($D$2:$EE$2,DL$2-1,$D28:$EE28)/12)*(1+XLOOKUP(DL$2,Assumptions!$C$94:$M$94,Assumptions!$C$98:$M$98))))</f>
        <v>-1718.752576</v>
      </c>
      <c r="DM28" s="54">
        <f t="array" ref="DM28">-(IF(DM$2=1,Assumptions!$X29/12,-(SUMIF($D$2:$EE$2,DM$2-1,$D28:$EE28)/12)*(1+XLOOKUP(DM$2,Assumptions!$C$94:$M$94,Assumptions!$C$98:$M$98))))</f>
        <v>-1718.752576</v>
      </c>
      <c r="DN28" s="54">
        <f t="array" ref="DN28">-(IF(DN$2=1,Assumptions!$X29/12,-(SUMIF($D$2:$EE$2,DN$2-1,$D28:$EE28)/12)*(1+XLOOKUP(DN$2,Assumptions!$C$94:$M$94,Assumptions!$C$98:$M$98))))</f>
        <v>-1718.752576</v>
      </c>
      <c r="DO28" s="54">
        <f t="array" ref="DO28">-(IF(DO$2=1,Assumptions!$X29/12,-(SUMIF($D$2:$EE$2,DO$2-1,$D28:$EE28)/12)*(1+XLOOKUP(DO$2,Assumptions!$C$94:$M$94,Assumptions!$C$98:$M$98))))</f>
        <v>-1718.752576</v>
      </c>
      <c r="DP28" s="54">
        <f t="array" ref="DP28">-(IF(DP$2=1,Assumptions!$X29/12,-(SUMIF($D$2:$EE$2,DP$2-1,$D28:$EE28)/12)*(1+XLOOKUP(DP$2,Assumptions!$C$94:$M$94,Assumptions!$C$98:$M$98))))</f>
        <v>-1718.752576</v>
      </c>
      <c r="DQ28" s="54">
        <f t="array" ref="DQ28">-(IF(DQ$2=1,Assumptions!$X29/12,-(SUMIF($D$2:$EE$2,DQ$2-1,$D28:$EE28)/12)*(1+XLOOKUP(DQ$2,Assumptions!$C$94:$M$94,Assumptions!$C$98:$M$98))))</f>
        <v>-1718.752576</v>
      </c>
      <c r="DR28" s="54">
        <f t="array" ref="DR28">-(IF(DR$2=1,Assumptions!$X29/12,-(SUMIF($D$2:$EE$2,DR$2-1,$D28:$EE28)/12)*(1+XLOOKUP(DR$2,Assumptions!$C$94:$M$94,Assumptions!$C$98:$M$98))))</f>
        <v>-1718.752576</v>
      </c>
      <c r="DS28" s="54">
        <f t="array" ref="DS28">-(IF(DS$2=1,Assumptions!$X29/12,-(SUMIF($D$2:$EE$2,DS$2-1,$D28:$EE28)/12)*(1+XLOOKUP(DS$2,Assumptions!$C$94:$M$94,Assumptions!$C$98:$M$98))))</f>
        <v>-1718.752576</v>
      </c>
      <c r="DT28" s="54">
        <f t="array" ref="DT28">-(IF(DT$2=1,Assumptions!$X29/12,-(SUMIF($D$2:$EE$2,DT$2-1,$D28:$EE28)/12)*(1+XLOOKUP(DT$2,Assumptions!$C$94:$M$94,Assumptions!$C$98:$M$98))))</f>
        <v>-1770.315154</v>
      </c>
      <c r="DU28" s="54">
        <f t="array" ref="DU28">-(IF(DU$2=1,Assumptions!$X29/12,-(SUMIF($D$2:$EE$2,DU$2-1,$D28:$EE28)/12)*(1+XLOOKUP(DU$2,Assumptions!$C$94:$M$94,Assumptions!$C$98:$M$98))))</f>
        <v>-1770.315154</v>
      </c>
      <c r="DV28" s="54">
        <f t="array" ref="DV28">-(IF(DV$2=1,Assumptions!$X29/12,-(SUMIF($D$2:$EE$2,DV$2-1,$D28:$EE28)/12)*(1+XLOOKUP(DV$2,Assumptions!$C$94:$M$94,Assumptions!$C$98:$M$98))))</f>
        <v>-1770.315154</v>
      </c>
      <c r="DW28" s="54">
        <f t="array" ref="DW28">-(IF(DW$2=1,Assumptions!$X29/12,-(SUMIF($D$2:$EE$2,DW$2-1,$D28:$EE28)/12)*(1+XLOOKUP(DW$2,Assumptions!$C$94:$M$94,Assumptions!$C$98:$M$98))))</f>
        <v>-1770.315154</v>
      </c>
      <c r="DX28" s="54">
        <f t="array" ref="DX28">-(IF(DX$2=1,Assumptions!$X29/12,-(SUMIF($D$2:$EE$2,DX$2-1,$D28:$EE28)/12)*(1+XLOOKUP(DX$2,Assumptions!$C$94:$M$94,Assumptions!$C$98:$M$98))))</f>
        <v>-1770.315154</v>
      </c>
      <c r="DY28" s="54">
        <f t="array" ref="DY28">-(IF(DY$2=1,Assumptions!$X29/12,-(SUMIF($D$2:$EE$2,DY$2-1,$D28:$EE28)/12)*(1+XLOOKUP(DY$2,Assumptions!$C$94:$M$94,Assumptions!$C$98:$M$98))))</f>
        <v>-1770.315154</v>
      </c>
      <c r="DZ28" s="54">
        <f t="array" ref="DZ28">-(IF(DZ$2=1,Assumptions!$X29/12,-(SUMIF($D$2:$EE$2,DZ$2-1,$D28:$EE28)/12)*(1+XLOOKUP(DZ$2,Assumptions!$C$94:$M$94,Assumptions!$C$98:$M$98))))</f>
        <v>-1770.315154</v>
      </c>
      <c r="EA28" s="54">
        <f t="array" ref="EA28">-(IF(EA$2=1,Assumptions!$X29/12,-(SUMIF($D$2:$EE$2,EA$2-1,$D28:$EE28)/12)*(1+XLOOKUP(EA$2,Assumptions!$C$94:$M$94,Assumptions!$C$98:$M$98))))</f>
        <v>-1770.315154</v>
      </c>
      <c r="EB28" s="54">
        <f t="array" ref="EB28">-(IF(EB$2=1,Assumptions!$X29/12,-(SUMIF($D$2:$EE$2,EB$2-1,$D28:$EE28)/12)*(1+XLOOKUP(EB$2,Assumptions!$C$94:$M$94,Assumptions!$C$98:$M$98))))</f>
        <v>-1770.315154</v>
      </c>
      <c r="EC28" s="54">
        <f t="array" ref="EC28">-(IF(EC$2=1,Assumptions!$X29/12,-(SUMIF($D$2:$EE$2,EC$2-1,$D28:$EE28)/12)*(1+XLOOKUP(EC$2,Assumptions!$C$94:$M$94,Assumptions!$C$98:$M$98))))</f>
        <v>-1770.315154</v>
      </c>
      <c r="ED28" s="54">
        <f t="array" ref="ED28">-(IF(ED$2=1,Assumptions!$X29/12,-(SUMIF($D$2:$EE$2,ED$2-1,$D28:$EE28)/12)*(1+XLOOKUP(ED$2,Assumptions!$C$94:$M$94,Assumptions!$C$98:$M$98))))</f>
        <v>-1770.315154</v>
      </c>
      <c r="EE28" s="54">
        <f t="array" ref="EE28">-(IF(EE$2=1,Assumptions!$X29/12,-(SUMIF($D$2:$EE$2,EE$2-1,$D28:$EE28)/12)*(1+XLOOKUP(EE$2,Assumptions!$C$94:$M$94,Assumptions!$C$98:$M$98))))</f>
        <v>-1770.315154</v>
      </c>
    </row>
    <row r="29" ht="15.75" customHeight="1">
      <c r="A29" s="1"/>
      <c r="B29" s="1"/>
      <c r="C29" s="1" t="str">
        <f>Assumptions!J30</f>
        <v>Management Fee</v>
      </c>
      <c r="D29" s="54">
        <f>-D$18*Assumptions!$V$30</f>
        <v>-3065.421769</v>
      </c>
      <c r="E29" s="54">
        <f>-E$18*Assumptions!$V$30</f>
        <v>-3065.421769</v>
      </c>
      <c r="F29" s="54">
        <f>-F$18*Assumptions!$V$30</f>
        <v>-3065.421769</v>
      </c>
      <c r="G29" s="54">
        <f>-G$18*Assumptions!$V$30</f>
        <v>-3065.421769</v>
      </c>
      <c r="H29" s="54">
        <f>-H$18*Assumptions!$V$30</f>
        <v>-3065.421769</v>
      </c>
      <c r="I29" s="54">
        <f>-I$18*Assumptions!$V$30</f>
        <v>-3065.421769</v>
      </c>
      <c r="J29" s="54">
        <f>-J$18*Assumptions!$V$30</f>
        <v>-3065.421769</v>
      </c>
      <c r="K29" s="54">
        <f>-K$18*Assumptions!$V$30</f>
        <v>-3065.421769</v>
      </c>
      <c r="L29" s="54">
        <f>-L$18*Assumptions!$V$30</f>
        <v>-3065.421769</v>
      </c>
      <c r="M29" s="54">
        <f>-M$18*Assumptions!$V$30</f>
        <v>-3065.421769</v>
      </c>
      <c r="N29" s="54">
        <f>-N$18*Assumptions!$V$30</f>
        <v>-3065.421769</v>
      </c>
      <c r="O29" s="54">
        <f>-O$18*Assumptions!$V$30</f>
        <v>-3065.421769</v>
      </c>
      <c r="P29" s="54">
        <f>-P$18*Assumptions!$V$30</f>
        <v>-3259.235533</v>
      </c>
      <c r="Q29" s="54">
        <f>-Q$18*Assumptions!$V$30</f>
        <v>-3259.235533</v>
      </c>
      <c r="R29" s="54">
        <f>-R$18*Assumptions!$V$30</f>
        <v>-3259.235533</v>
      </c>
      <c r="S29" s="54">
        <f>-S$18*Assumptions!$V$30</f>
        <v>-3259.235533</v>
      </c>
      <c r="T29" s="54">
        <f>-T$18*Assumptions!$V$30</f>
        <v>-3259.235533</v>
      </c>
      <c r="U29" s="54">
        <f>-U$18*Assumptions!$V$30</f>
        <v>-3259.235533</v>
      </c>
      <c r="V29" s="54">
        <f>-V$18*Assumptions!$V$30</f>
        <v>-3259.235533</v>
      </c>
      <c r="W29" s="54">
        <f>-W$18*Assumptions!$V$30</f>
        <v>-3259.235533</v>
      </c>
      <c r="X29" s="54">
        <f>-X$18*Assumptions!$V$30</f>
        <v>-3259.235533</v>
      </c>
      <c r="Y29" s="54">
        <f>-Y$18*Assumptions!$V$30</f>
        <v>-3259.235533</v>
      </c>
      <c r="Z29" s="54">
        <f>-Z$18*Assumptions!$V$30</f>
        <v>-3259.235533</v>
      </c>
      <c r="AA29" s="54">
        <f>-AA$18*Assumptions!$V$30</f>
        <v>-3259.235533</v>
      </c>
      <c r="AB29" s="54">
        <f>-AB$18*Assumptions!$V$30</f>
        <v>-3357.012599</v>
      </c>
      <c r="AC29" s="54">
        <f>-AC$18*Assumptions!$V$30</f>
        <v>-3357.012599</v>
      </c>
      <c r="AD29" s="54">
        <f>-AD$18*Assumptions!$V$30</f>
        <v>-3357.012599</v>
      </c>
      <c r="AE29" s="54">
        <f>-AE$18*Assumptions!$V$30</f>
        <v>-3357.012599</v>
      </c>
      <c r="AF29" s="54">
        <f>-AF$18*Assumptions!$V$30</f>
        <v>-3357.012599</v>
      </c>
      <c r="AG29" s="54">
        <f>-AG$18*Assumptions!$V$30</f>
        <v>-3357.012599</v>
      </c>
      <c r="AH29" s="54">
        <f>-AH$18*Assumptions!$V$30</f>
        <v>-3357.012599</v>
      </c>
      <c r="AI29" s="54">
        <f>-AI$18*Assumptions!$V$30</f>
        <v>-3357.012599</v>
      </c>
      <c r="AJ29" s="54">
        <f>-AJ$18*Assumptions!$V$30</f>
        <v>-3357.012599</v>
      </c>
      <c r="AK29" s="54">
        <f>-AK$18*Assumptions!$V$30</f>
        <v>-3357.012599</v>
      </c>
      <c r="AL29" s="54">
        <f>-AL$18*Assumptions!$V$30</f>
        <v>-3357.012599</v>
      </c>
      <c r="AM29" s="54">
        <f>-AM$18*Assumptions!$V$30</f>
        <v>-3357.012599</v>
      </c>
      <c r="AN29" s="54">
        <f>-AN$18*Assumptions!$V$30</f>
        <v>-3457.722977</v>
      </c>
      <c r="AO29" s="54">
        <f>-AO$18*Assumptions!$V$30</f>
        <v>-3457.722977</v>
      </c>
      <c r="AP29" s="54">
        <f>-AP$18*Assumptions!$V$30</f>
        <v>-3457.722977</v>
      </c>
      <c r="AQ29" s="54">
        <f>-AQ$18*Assumptions!$V$30</f>
        <v>-3457.722977</v>
      </c>
      <c r="AR29" s="54">
        <f>-AR$18*Assumptions!$V$30</f>
        <v>-3457.722977</v>
      </c>
      <c r="AS29" s="54">
        <f>-AS$18*Assumptions!$V$30</f>
        <v>-3457.722977</v>
      </c>
      <c r="AT29" s="54">
        <f>-AT$18*Assumptions!$V$30</f>
        <v>-3457.722977</v>
      </c>
      <c r="AU29" s="54">
        <f>-AU$18*Assumptions!$V$30</f>
        <v>-3457.722977</v>
      </c>
      <c r="AV29" s="54">
        <f>-AV$18*Assumptions!$V$30</f>
        <v>-3457.722977</v>
      </c>
      <c r="AW29" s="54">
        <f>-AW$18*Assumptions!$V$30</f>
        <v>-3457.722977</v>
      </c>
      <c r="AX29" s="54">
        <f>-AX$18*Assumptions!$V$30</f>
        <v>-3457.722977</v>
      </c>
      <c r="AY29" s="54">
        <f>-AY$18*Assumptions!$V$30</f>
        <v>-3457.722977</v>
      </c>
      <c r="AZ29" s="54">
        <f>-AZ$18*Assumptions!$V$30</f>
        <v>-3561.454666</v>
      </c>
      <c r="BA29" s="54">
        <f>-BA$18*Assumptions!$V$30</f>
        <v>-3561.454666</v>
      </c>
      <c r="BB29" s="54">
        <f>-BB$18*Assumptions!$V$30</f>
        <v>-3561.454666</v>
      </c>
      <c r="BC29" s="54">
        <f>-BC$18*Assumptions!$V$30</f>
        <v>-3561.454666</v>
      </c>
      <c r="BD29" s="54">
        <f>-BD$18*Assumptions!$V$30</f>
        <v>-3561.454666</v>
      </c>
      <c r="BE29" s="54">
        <f>-BE$18*Assumptions!$V$30</f>
        <v>-3561.454666</v>
      </c>
      <c r="BF29" s="54">
        <f>-BF$18*Assumptions!$V$30</f>
        <v>-3561.454666</v>
      </c>
      <c r="BG29" s="54">
        <f>-BG$18*Assumptions!$V$30</f>
        <v>-3561.454666</v>
      </c>
      <c r="BH29" s="54">
        <f>-BH$18*Assumptions!$V$30</f>
        <v>-3561.454666</v>
      </c>
      <c r="BI29" s="54">
        <f>-BI$18*Assumptions!$V$30</f>
        <v>-3561.454666</v>
      </c>
      <c r="BJ29" s="54">
        <f>-BJ$18*Assumptions!$V$30</f>
        <v>-3561.454666</v>
      </c>
      <c r="BK29" s="54">
        <f>-BK$18*Assumptions!$V$30</f>
        <v>-3561.454666</v>
      </c>
      <c r="BL29" s="54">
        <f>-BL$18*Assumptions!$V$30</f>
        <v>-3668.298306</v>
      </c>
      <c r="BM29" s="54">
        <f>-BM$18*Assumptions!$V$30</f>
        <v>-3668.298306</v>
      </c>
      <c r="BN29" s="54">
        <f>-BN$18*Assumptions!$V$30</f>
        <v>-3668.298306</v>
      </c>
      <c r="BO29" s="54">
        <f>-BO$18*Assumptions!$V$30</f>
        <v>-3668.298306</v>
      </c>
      <c r="BP29" s="54">
        <f>-BP$18*Assumptions!$V$30</f>
        <v>-3668.298306</v>
      </c>
      <c r="BQ29" s="54">
        <f>-BQ$18*Assumptions!$V$30</f>
        <v>-3668.298306</v>
      </c>
      <c r="BR29" s="54">
        <f>-BR$18*Assumptions!$V$30</f>
        <v>-3668.298306</v>
      </c>
      <c r="BS29" s="54">
        <f>-BS$18*Assumptions!$V$30</f>
        <v>-3668.298306</v>
      </c>
      <c r="BT29" s="54">
        <f>-BT$18*Assumptions!$V$30</f>
        <v>-3668.298306</v>
      </c>
      <c r="BU29" s="54">
        <f>-BU$18*Assumptions!$V$30</f>
        <v>-3668.298306</v>
      </c>
      <c r="BV29" s="54">
        <f>-BV$18*Assumptions!$V$30</f>
        <v>-3668.298306</v>
      </c>
      <c r="BW29" s="54">
        <f>-BW$18*Assumptions!$V$30</f>
        <v>-3668.298306</v>
      </c>
      <c r="BX29" s="54">
        <f>-BX$18*Assumptions!$V$30</f>
        <v>-3778.347255</v>
      </c>
      <c r="BY29" s="54">
        <f>-BY$18*Assumptions!$V$30</f>
        <v>-3778.347255</v>
      </c>
      <c r="BZ29" s="54">
        <f>-BZ$18*Assumptions!$V$30</f>
        <v>-3778.347255</v>
      </c>
      <c r="CA29" s="54">
        <f>-CA$18*Assumptions!$V$30</f>
        <v>-3778.347255</v>
      </c>
      <c r="CB29" s="54">
        <f>-CB$18*Assumptions!$V$30</f>
        <v>-3778.347255</v>
      </c>
      <c r="CC29" s="54">
        <f>-CC$18*Assumptions!$V$30</f>
        <v>-3778.347255</v>
      </c>
      <c r="CD29" s="54">
        <f>-CD$18*Assumptions!$V$30</f>
        <v>-3778.347255</v>
      </c>
      <c r="CE29" s="54">
        <f>-CE$18*Assumptions!$V$30</f>
        <v>-3778.347255</v>
      </c>
      <c r="CF29" s="54">
        <f>-CF$18*Assumptions!$V$30</f>
        <v>-3778.347255</v>
      </c>
      <c r="CG29" s="54">
        <f>-CG$18*Assumptions!$V$30</f>
        <v>-3778.347255</v>
      </c>
      <c r="CH29" s="54">
        <f>-CH$18*Assumptions!$V$30</f>
        <v>-3778.347255</v>
      </c>
      <c r="CI29" s="54">
        <f>-CI$18*Assumptions!$V$30</f>
        <v>-3778.347255</v>
      </c>
      <c r="CJ29" s="54">
        <f>-CJ$18*Assumptions!$V$30</f>
        <v>-3891.697673</v>
      </c>
      <c r="CK29" s="54">
        <f>-CK$18*Assumptions!$V$30</f>
        <v>-3891.697673</v>
      </c>
      <c r="CL29" s="54">
        <f>-CL$18*Assumptions!$V$30</f>
        <v>-3891.697673</v>
      </c>
      <c r="CM29" s="54">
        <f>-CM$18*Assumptions!$V$30</f>
        <v>-3891.697673</v>
      </c>
      <c r="CN29" s="54">
        <f>-CN$18*Assumptions!$V$30</f>
        <v>-3891.697673</v>
      </c>
      <c r="CO29" s="54">
        <f>-CO$18*Assumptions!$V$30</f>
        <v>-3891.697673</v>
      </c>
      <c r="CP29" s="54">
        <f>-CP$18*Assumptions!$V$30</f>
        <v>-3891.697673</v>
      </c>
      <c r="CQ29" s="54">
        <f>-CQ$18*Assumptions!$V$30</f>
        <v>-3891.697673</v>
      </c>
      <c r="CR29" s="54">
        <f>-CR$18*Assumptions!$V$30</f>
        <v>-3891.697673</v>
      </c>
      <c r="CS29" s="54">
        <f>-CS$18*Assumptions!$V$30</f>
        <v>-3891.697673</v>
      </c>
      <c r="CT29" s="54">
        <f>-CT$18*Assumptions!$V$30</f>
        <v>-3891.697673</v>
      </c>
      <c r="CU29" s="54">
        <f>-CU$18*Assumptions!$V$30</f>
        <v>-3891.697673</v>
      </c>
      <c r="CV29" s="54">
        <f>-CV$18*Assumptions!$V$30</f>
        <v>-4008.448603</v>
      </c>
      <c r="CW29" s="54">
        <f>-CW$18*Assumptions!$V$30</f>
        <v>-4008.448603</v>
      </c>
      <c r="CX29" s="54">
        <f>-CX$18*Assumptions!$V$30</f>
        <v>-4008.448603</v>
      </c>
      <c r="CY29" s="54">
        <f>-CY$18*Assumptions!$V$30</f>
        <v>-4008.448603</v>
      </c>
      <c r="CZ29" s="54">
        <f>-CZ$18*Assumptions!$V$30</f>
        <v>-4008.448603</v>
      </c>
      <c r="DA29" s="54">
        <f>-DA$18*Assumptions!$V$30</f>
        <v>-4008.448603</v>
      </c>
      <c r="DB29" s="54">
        <f>-DB$18*Assumptions!$V$30</f>
        <v>-4008.448603</v>
      </c>
      <c r="DC29" s="54">
        <f>-DC$18*Assumptions!$V$30</f>
        <v>-4008.448603</v>
      </c>
      <c r="DD29" s="54">
        <f>-DD$18*Assumptions!$V$30</f>
        <v>-4008.448603</v>
      </c>
      <c r="DE29" s="54">
        <f>-DE$18*Assumptions!$V$30</f>
        <v>-4008.448603</v>
      </c>
      <c r="DF29" s="54">
        <f>-DF$18*Assumptions!$V$30</f>
        <v>-4008.448603</v>
      </c>
      <c r="DG29" s="54">
        <f>-DG$18*Assumptions!$V$30</f>
        <v>-4008.448603</v>
      </c>
      <c r="DH29" s="54">
        <f>-DH$18*Assumptions!$V$30</f>
        <v>-3999.680122</v>
      </c>
      <c r="DI29" s="54">
        <f>-DI$18*Assumptions!$V$30</f>
        <v>-3999.680122</v>
      </c>
      <c r="DJ29" s="54">
        <f>-DJ$18*Assumptions!$V$30</f>
        <v>-3999.680122</v>
      </c>
      <c r="DK29" s="54">
        <f>-DK$18*Assumptions!$V$30</f>
        <v>-3999.680122</v>
      </c>
      <c r="DL29" s="54">
        <f>-DL$18*Assumptions!$V$30</f>
        <v>-3999.680122</v>
      </c>
      <c r="DM29" s="54">
        <f>-DM$18*Assumptions!$V$30</f>
        <v>-3999.680122</v>
      </c>
      <c r="DN29" s="54">
        <f>-DN$18*Assumptions!$V$30</f>
        <v>-3999.680122</v>
      </c>
      <c r="DO29" s="54">
        <f>-DO$18*Assumptions!$V$30</f>
        <v>-3999.680122</v>
      </c>
      <c r="DP29" s="54">
        <f>-DP$18*Assumptions!$V$30</f>
        <v>-3999.680122</v>
      </c>
      <c r="DQ29" s="54">
        <f>-DQ$18*Assumptions!$V$30</f>
        <v>-3999.680122</v>
      </c>
      <c r="DR29" s="54">
        <f>-DR$18*Assumptions!$V$30</f>
        <v>-3999.680122</v>
      </c>
      <c r="DS29" s="54">
        <f>-DS$18*Assumptions!$V$30</f>
        <v>-3999.680122</v>
      </c>
      <c r="DT29" s="54">
        <f>-DT$18*Assumptions!$V$30</f>
        <v>-4252.563123</v>
      </c>
      <c r="DU29" s="54">
        <f>-DU$18*Assumptions!$V$30</f>
        <v>-4252.563123</v>
      </c>
      <c r="DV29" s="54">
        <f>-DV$18*Assumptions!$V$30</f>
        <v>-4252.563123</v>
      </c>
      <c r="DW29" s="54">
        <f>-DW$18*Assumptions!$V$30</f>
        <v>-4252.563123</v>
      </c>
      <c r="DX29" s="54">
        <f>-DX$18*Assumptions!$V$30</f>
        <v>-4252.563123</v>
      </c>
      <c r="DY29" s="54">
        <f>-DY$18*Assumptions!$V$30</f>
        <v>-4252.563123</v>
      </c>
      <c r="DZ29" s="54">
        <f>-DZ$18*Assumptions!$V$30</f>
        <v>-4252.563123</v>
      </c>
      <c r="EA29" s="54">
        <f>-EA$18*Assumptions!$V$30</f>
        <v>-4252.563123</v>
      </c>
      <c r="EB29" s="54">
        <f>-EB$18*Assumptions!$V$30</f>
        <v>-4252.563123</v>
      </c>
      <c r="EC29" s="54">
        <f>-EC$18*Assumptions!$V$30</f>
        <v>-4252.563123</v>
      </c>
      <c r="ED29" s="54">
        <f>-ED$18*Assumptions!$V$30</f>
        <v>-4252.563123</v>
      </c>
      <c r="EE29" s="54">
        <f>-EE$18*Assumptions!$V$30</f>
        <v>-4252.563123</v>
      </c>
    </row>
    <row r="30" ht="15.75" customHeight="1">
      <c r="A30" s="1"/>
      <c r="B30" s="1"/>
      <c r="C30" s="1" t="str">
        <f>Assumptions!J31</f>
        <v>Contract Services</v>
      </c>
      <c r="D30" s="54">
        <f t="array" ref="D30">-(IF(D$2=1,Assumptions!$X31/12,-(SUMIF($D$2:$EE$2,D$2-1,$D30:$EE30)/12)*(1+XLOOKUP(D$2,Assumptions!$C$94:$M$94,Assumptions!$C$98:$M$98))))</f>
        <v>-1322.198983</v>
      </c>
      <c r="E30" s="54">
        <f t="array" ref="E30">-(IF(E$2=1,Assumptions!$X31/12,-(SUMIF($D$2:$EE$2,E$2-1,$D30:$EE30)/12)*(1+XLOOKUP(E$2,Assumptions!$C$94:$M$94,Assumptions!$C$98:$M$98))))</f>
        <v>-1322.198983</v>
      </c>
      <c r="F30" s="54">
        <f t="array" ref="F30">-(IF(F$2=1,Assumptions!$X31/12,-(SUMIF($D$2:$EE$2,F$2-1,$D30:$EE30)/12)*(1+XLOOKUP(F$2,Assumptions!$C$94:$M$94,Assumptions!$C$98:$M$98))))</f>
        <v>-1322.198983</v>
      </c>
      <c r="G30" s="54">
        <f t="array" ref="G30">-(IF(G$2=1,Assumptions!$X31/12,-(SUMIF($D$2:$EE$2,G$2-1,$D30:$EE30)/12)*(1+XLOOKUP(G$2,Assumptions!$C$94:$M$94,Assumptions!$C$98:$M$98))))</f>
        <v>-1322.198983</v>
      </c>
      <c r="H30" s="54">
        <f t="array" ref="H30">-(IF(H$2=1,Assumptions!$X31/12,-(SUMIF($D$2:$EE$2,H$2-1,$D30:$EE30)/12)*(1+XLOOKUP(H$2,Assumptions!$C$94:$M$94,Assumptions!$C$98:$M$98))))</f>
        <v>-1322.198983</v>
      </c>
      <c r="I30" s="54">
        <f t="array" ref="I30">-(IF(I$2=1,Assumptions!$X31/12,-(SUMIF($D$2:$EE$2,I$2-1,$D30:$EE30)/12)*(1+XLOOKUP(I$2,Assumptions!$C$94:$M$94,Assumptions!$C$98:$M$98))))</f>
        <v>-1322.198983</v>
      </c>
      <c r="J30" s="54">
        <f t="array" ref="J30">-(IF(J$2=1,Assumptions!$X31/12,-(SUMIF($D$2:$EE$2,J$2-1,$D30:$EE30)/12)*(1+XLOOKUP(J$2,Assumptions!$C$94:$M$94,Assumptions!$C$98:$M$98))))</f>
        <v>-1322.198983</v>
      </c>
      <c r="K30" s="54">
        <f t="array" ref="K30">-(IF(K$2=1,Assumptions!$X31/12,-(SUMIF($D$2:$EE$2,K$2-1,$D30:$EE30)/12)*(1+XLOOKUP(K$2,Assumptions!$C$94:$M$94,Assumptions!$C$98:$M$98))))</f>
        <v>-1322.198983</v>
      </c>
      <c r="L30" s="54">
        <f t="array" ref="L30">-(IF(L$2=1,Assumptions!$X31/12,-(SUMIF($D$2:$EE$2,L$2-1,$D30:$EE30)/12)*(1+XLOOKUP(L$2,Assumptions!$C$94:$M$94,Assumptions!$C$98:$M$98))))</f>
        <v>-1322.198983</v>
      </c>
      <c r="M30" s="54">
        <f t="array" ref="M30">-(IF(M$2=1,Assumptions!$X31/12,-(SUMIF($D$2:$EE$2,M$2-1,$D30:$EE30)/12)*(1+XLOOKUP(M$2,Assumptions!$C$94:$M$94,Assumptions!$C$98:$M$98))))</f>
        <v>-1322.198983</v>
      </c>
      <c r="N30" s="54">
        <f t="array" ref="N30">-(IF(N$2=1,Assumptions!$X31/12,-(SUMIF($D$2:$EE$2,N$2-1,$D30:$EE30)/12)*(1+XLOOKUP(N$2,Assumptions!$C$94:$M$94,Assumptions!$C$98:$M$98))))</f>
        <v>-1322.198983</v>
      </c>
      <c r="O30" s="54">
        <f t="array" ref="O30">-(IF(O$2=1,Assumptions!$X31/12,-(SUMIF($D$2:$EE$2,O$2-1,$D30:$EE30)/12)*(1+XLOOKUP(O$2,Assumptions!$C$94:$M$94,Assumptions!$C$98:$M$98))))</f>
        <v>-1322.198983</v>
      </c>
      <c r="P30" s="54">
        <f t="array" ref="P30">-(IF(P$2=1,Assumptions!$X31/12,-(SUMIF($D$2:$EE$2,P$2-1,$D30:$EE30)/12)*(1+XLOOKUP(P$2,Assumptions!$C$94:$M$94,Assumptions!$C$98:$M$98))))</f>
        <v>-1361.864953</v>
      </c>
      <c r="Q30" s="54">
        <f t="array" ref="Q30">-(IF(Q$2=1,Assumptions!$X31/12,-(SUMIF($D$2:$EE$2,Q$2-1,$D30:$EE30)/12)*(1+XLOOKUP(Q$2,Assumptions!$C$94:$M$94,Assumptions!$C$98:$M$98))))</f>
        <v>-1361.864953</v>
      </c>
      <c r="R30" s="54">
        <f t="array" ref="R30">-(IF(R$2=1,Assumptions!$X31/12,-(SUMIF($D$2:$EE$2,R$2-1,$D30:$EE30)/12)*(1+XLOOKUP(R$2,Assumptions!$C$94:$M$94,Assumptions!$C$98:$M$98))))</f>
        <v>-1361.864953</v>
      </c>
      <c r="S30" s="54">
        <f t="array" ref="S30">-(IF(S$2=1,Assumptions!$X31/12,-(SUMIF($D$2:$EE$2,S$2-1,$D30:$EE30)/12)*(1+XLOOKUP(S$2,Assumptions!$C$94:$M$94,Assumptions!$C$98:$M$98))))</f>
        <v>-1361.864953</v>
      </c>
      <c r="T30" s="54">
        <f t="array" ref="T30">-(IF(T$2=1,Assumptions!$X31/12,-(SUMIF($D$2:$EE$2,T$2-1,$D30:$EE30)/12)*(1+XLOOKUP(T$2,Assumptions!$C$94:$M$94,Assumptions!$C$98:$M$98))))</f>
        <v>-1361.864953</v>
      </c>
      <c r="U30" s="54">
        <f t="array" ref="U30">-(IF(U$2=1,Assumptions!$X31/12,-(SUMIF($D$2:$EE$2,U$2-1,$D30:$EE30)/12)*(1+XLOOKUP(U$2,Assumptions!$C$94:$M$94,Assumptions!$C$98:$M$98))))</f>
        <v>-1361.864953</v>
      </c>
      <c r="V30" s="54">
        <f t="array" ref="V30">-(IF(V$2=1,Assumptions!$X31/12,-(SUMIF($D$2:$EE$2,V$2-1,$D30:$EE30)/12)*(1+XLOOKUP(V$2,Assumptions!$C$94:$M$94,Assumptions!$C$98:$M$98))))</f>
        <v>-1361.864953</v>
      </c>
      <c r="W30" s="54">
        <f t="array" ref="W30">-(IF(W$2=1,Assumptions!$X31/12,-(SUMIF($D$2:$EE$2,W$2-1,$D30:$EE30)/12)*(1+XLOOKUP(W$2,Assumptions!$C$94:$M$94,Assumptions!$C$98:$M$98))))</f>
        <v>-1361.864953</v>
      </c>
      <c r="X30" s="54">
        <f t="array" ref="X30">-(IF(X$2=1,Assumptions!$X31/12,-(SUMIF($D$2:$EE$2,X$2-1,$D30:$EE30)/12)*(1+XLOOKUP(X$2,Assumptions!$C$94:$M$94,Assumptions!$C$98:$M$98))))</f>
        <v>-1361.864953</v>
      </c>
      <c r="Y30" s="54">
        <f t="array" ref="Y30">-(IF(Y$2=1,Assumptions!$X31/12,-(SUMIF($D$2:$EE$2,Y$2-1,$D30:$EE30)/12)*(1+XLOOKUP(Y$2,Assumptions!$C$94:$M$94,Assumptions!$C$98:$M$98))))</f>
        <v>-1361.864953</v>
      </c>
      <c r="Z30" s="54">
        <f t="array" ref="Z30">-(IF(Z$2=1,Assumptions!$X31/12,-(SUMIF($D$2:$EE$2,Z$2-1,$D30:$EE30)/12)*(1+XLOOKUP(Z$2,Assumptions!$C$94:$M$94,Assumptions!$C$98:$M$98))))</f>
        <v>-1361.864953</v>
      </c>
      <c r="AA30" s="54">
        <f t="array" ref="AA30">-(IF(AA$2=1,Assumptions!$X31/12,-(SUMIF($D$2:$EE$2,AA$2-1,$D30:$EE30)/12)*(1+XLOOKUP(AA$2,Assumptions!$C$94:$M$94,Assumptions!$C$98:$M$98))))</f>
        <v>-1361.864953</v>
      </c>
      <c r="AB30" s="54">
        <f t="array" ref="AB30">-(IF(AB$2=1,Assumptions!$X31/12,-(SUMIF($D$2:$EE$2,AB$2-1,$D30:$EE30)/12)*(1+XLOOKUP(AB$2,Assumptions!$C$94:$M$94,Assumptions!$C$98:$M$98))))</f>
        <v>-1402.720901</v>
      </c>
      <c r="AC30" s="54">
        <f t="array" ref="AC30">-(IF(AC$2=1,Assumptions!$X31/12,-(SUMIF($D$2:$EE$2,AC$2-1,$D30:$EE30)/12)*(1+XLOOKUP(AC$2,Assumptions!$C$94:$M$94,Assumptions!$C$98:$M$98))))</f>
        <v>-1402.720901</v>
      </c>
      <c r="AD30" s="54">
        <f t="array" ref="AD30">-(IF(AD$2=1,Assumptions!$X31/12,-(SUMIF($D$2:$EE$2,AD$2-1,$D30:$EE30)/12)*(1+XLOOKUP(AD$2,Assumptions!$C$94:$M$94,Assumptions!$C$98:$M$98))))</f>
        <v>-1402.720901</v>
      </c>
      <c r="AE30" s="54">
        <f t="array" ref="AE30">-(IF(AE$2=1,Assumptions!$X31/12,-(SUMIF($D$2:$EE$2,AE$2-1,$D30:$EE30)/12)*(1+XLOOKUP(AE$2,Assumptions!$C$94:$M$94,Assumptions!$C$98:$M$98))))</f>
        <v>-1402.720901</v>
      </c>
      <c r="AF30" s="54">
        <f t="array" ref="AF30">-(IF(AF$2=1,Assumptions!$X31/12,-(SUMIF($D$2:$EE$2,AF$2-1,$D30:$EE30)/12)*(1+XLOOKUP(AF$2,Assumptions!$C$94:$M$94,Assumptions!$C$98:$M$98))))</f>
        <v>-1402.720901</v>
      </c>
      <c r="AG30" s="54">
        <f t="array" ref="AG30">-(IF(AG$2=1,Assumptions!$X31/12,-(SUMIF($D$2:$EE$2,AG$2-1,$D30:$EE30)/12)*(1+XLOOKUP(AG$2,Assumptions!$C$94:$M$94,Assumptions!$C$98:$M$98))))</f>
        <v>-1402.720901</v>
      </c>
      <c r="AH30" s="54">
        <f t="array" ref="AH30">-(IF(AH$2=1,Assumptions!$X31/12,-(SUMIF($D$2:$EE$2,AH$2-1,$D30:$EE30)/12)*(1+XLOOKUP(AH$2,Assumptions!$C$94:$M$94,Assumptions!$C$98:$M$98))))</f>
        <v>-1402.720901</v>
      </c>
      <c r="AI30" s="54">
        <f t="array" ref="AI30">-(IF(AI$2=1,Assumptions!$X31/12,-(SUMIF($D$2:$EE$2,AI$2-1,$D30:$EE30)/12)*(1+XLOOKUP(AI$2,Assumptions!$C$94:$M$94,Assumptions!$C$98:$M$98))))</f>
        <v>-1402.720901</v>
      </c>
      <c r="AJ30" s="54">
        <f t="array" ref="AJ30">-(IF(AJ$2=1,Assumptions!$X31/12,-(SUMIF($D$2:$EE$2,AJ$2-1,$D30:$EE30)/12)*(1+XLOOKUP(AJ$2,Assumptions!$C$94:$M$94,Assumptions!$C$98:$M$98))))</f>
        <v>-1402.720901</v>
      </c>
      <c r="AK30" s="54">
        <f t="array" ref="AK30">-(IF(AK$2=1,Assumptions!$X31/12,-(SUMIF($D$2:$EE$2,AK$2-1,$D30:$EE30)/12)*(1+XLOOKUP(AK$2,Assumptions!$C$94:$M$94,Assumptions!$C$98:$M$98))))</f>
        <v>-1402.720901</v>
      </c>
      <c r="AL30" s="54">
        <f t="array" ref="AL30">-(IF(AL$2=1,Assumptions!$X31/12,-(SUMIF($D$2:$EE$2,AL$2-1,$D30:$EE30)/12)*(1+XLOOKUP(AL$2,Assumptions!$C$94:$M$94,Assumptions!$C$98:$M$98))))</f>
        <v>-1402.720901</v>
      </c>
      <c r="AM30" s="54">
        <f t="array" ref="AM30">-(IF(AM$2=1,Assumptions!$X31/12,-(SUMIF($D$2:$EE$2,AM$2-1,$D30:$EE30)/12)*(1+XLOOKUP(AM$2,Assumptions!$C$94:$M$94,Assumptions!$C$98:$M$98))))</f>
        <v>-1402.720901</v>
      </c>
      <c r="AN30" s="54">
        <f t="array" ref="AN30">-(IF(AN$2=1,Assumptions!$X31/12,-(SUMIF($D$2:$EE$2,AN$2-1,$D30:$EE30)/12)*(1+XLOOKUP(AN$2,Assumptions!$C$94:$M$94,Assumptions!$C$98:$M$98))))</f>
        <v>-1444.802528</v>
      </c>
      <c r="AO30" s="54">
        <f t="array" ref="AO30">-(IF(AO$2=1,Assumptions!$X31/12,-(SUMIF($D$2:$EE$2,AO$2-1,$D30:$EE30)/12)*(1+XLOOKUP(AO$2,Assumptions!$C$94:$M$94,Assumptions!$C$98:$M$98))))</f>
        <v>-1444.802528</v>
      </c>
      <c r="AP30" s="54">
        <f t="array" ref="AP30">-(IF(AP$2=1,Assumptions!$X31/12,-(SUMIF($D$2:$EE$2,AP$2-1,$D30:$EE30)/12)*(1+XLOOKUP(AP$2,Assumptions!$C$94:$M$94,Assumptions!$C$98:$M$98))))</f>
        <v>-1444.802528</v>
      </c>
      <c r="AQ30" s="54">
        <f t="array" ref="AQ30">-(IF(AQ$2=1,Assumptions!$X31/12,-(SUMIF($D$2:$EE$2,AQ$2-1,$D30:$EE30)/12)*(1+XLOOKUP(AQ$2,Assumptions!$C$94:$M$94,Assumptions!$C$98:$M$98))))</f>
        <v>-1444.802528</v>
      </c>
      <c r="AR30" s="54">
        <f t="array" ref="AR30">-(IF(AR$2=1,Assumptions!$X31/12,-(SUMIF($D$2:$EE$2,AR$2-1,$D30:$EE30)/12)*(1+XLOOKUP(AR$2,Assumptions!$C$94:$M$94,Assumptions!$C$98:$M$98))))</f>
        <v>-1444.802528</v>
      </c>
      <c r="AS30" s="54">
        <f t="array" ref="AS30">-(IF(AS$2=1,Assumptions!$X31/12,-(SUMIF($D$2:$EE$2,AS$2-1,$D30:$EE30)/12)*(1+XLOOKUP(AS$2,Assumptions!$C$94:$M$94,Assumptions!$C$98:$M$98))))</f>
        <v>-1444.802528</v>
      </c>
      <c r="AT30" s="54">
        <f t="array" ref="AT30">-(IF(AT$2=1,Assumptions!$X31/12,-(SUMIF($D$2:$EE$2,AT$2-1,$D30:$EE30)/12)*(1+XLOOKUP(AT$2,Assumptions!$C$94:$M$94,Assumptions!$C$98:$M$98))))</f>
        <v>-1444.802528</v>
      </c>
      <c r="AU30" s="54">
        <f t="array" ref="AU30">-(IF(AU$2=1,Assumptions!$X31/12,-(SUMIF($D$2:$EE$2,AU$2-1,$D30:$EE30)/12)*(1+XLOOKUP(AU$2,Assumptions!$C$94:$M$94,Assumptions!$C$98:$M$98))))</f>
        <v>-1444.802528</v>
      </c>
      <c r="AV30" s="54">
        <f t="array" ref="AV30">-(IF(AV$2=1,Assumptions!$X31/12,-(SUMIF($D$2:$EE$2,AV$2-1,$D30:$EE30)/12)*(1+XLOOKUP(AV$2,Assumptions!$C$94:$M$94,Assumptions!$C$98:$M$98))))</f>
        <v>-1444.802528</v>
      </c>
      <c r="AW30" s="54">
        <f t="array" ref="AW30">-(IF(AW$2=1,Assumptions!$X31/12,-(SUMIF($D$2:$EE$2,AW$2-1,$D30:$EE30)/12)*(1+XLOOKUP(AW$2,Assumptions!$C$94:$M$94,Assumptions!$C$98:$M$98))))</f>
        <v>-1444.802528</v>
      </c>
      <c r="AX30" s="54">
        <f t="array" ref="AX30">-(IF(AX$2=1,Assumptions!$X31/12,-(SUMIF($D$2:$EE$2,AX$2-1,$D30:$EE30)/12)*(1+XLOOKUP(AX$2,Assumptions!$C$94:$M$94,Assumptions!$C$98:$M$98))))</f>
        <v>-1444.802528</v>
      </c>
      <c r="AY30" s="54">
        <f t="array" ref="AY30">-(IF(AY$2=1,Assumptions!$X31/12,-(SUMIF($D$2:$EE$2,AY$2-1,$D30:$EE30)/12)*(1+XLOOKUP(AY$2,Assumptions!$C$94:$M$94,Assumptions!$C$98:$M$98))))</f>
        <v>-1444.802528</v>
      </c>
      <c r="AZ30" s="54">
        <f t="array" ref="AZ30">-(IF(AZ$2=1,Assumptions!$X31/12,-(SUMIF($D$2:$EE$2,AZ$2-1,$D30:$EE30)/12)*(1+XLOOKUP(AZ$2,Assumptions!$C$94:$M$94,Assumptions!$C$98:$M$98))))</f>
        <v>-1488.146604</v>
      </c>
      <c r="BA30" s="54">
        <f t="array" ref="BA30">-(IF(BA$2=1,Assumptions!$X31/12,-(SUMIF($D$2:$EE$2,BA$2-1,$D30:$EE30)/12)*(1+XLOOKUP(BA$2,Assumptions!$C$94:$M$94,Assumptions!$C$98:$M$98))))</f>
        <v>-1488.146604</v>
      </c>
      <c r="BB30" s="54">
        <f t="array" ref="BB30">-(IF(BB$2=1,Assumptions!$X31/12,-(SUMIF($D$2:$EE$2,BB$2-1,$D30:$EE30)/12)*(1+XLOOKUP(BB$2,Assumptions!$C$94:$M$94,Assumptions!$C$98:$M$98))))</f>
        <v>-1488.146604</v>
      </c>
      <c r="BC30" s="54">
        <f t="array" ref="BC30">-(IF(BC$2=1,Assumptions!$X31/12,-(SUMIF($D$2:$EE$2,BC$2-1,$D30:$EE30)/12)*(1+XLOOKUP(BC$2,Assumptions!$C$94:$M$94,Assumptions!$C$98:$M$98))))</f>
        <v>-1488.146604</v>
      </c>
      <c r="BD30" s="54">
        <f t="array" ref="BD30">-(IF(BD$2=1,Assumptions!$X31/12,-(SUMIF($D$2:$EE$2,BD$2-1,$D30:$EE30)/12)*(1+XLOOKUP(BD$2,Assumptions!$C$94:$M$94,Assumptions!$C$98:$M$98))))</f>
        <v>-1488.146604</v>
      </c>
      <c r="BE30" s="54">
        <f t="array" ref="BE30">-(IF(BE$2=1,Assumptions!$X31/12,-(SUMIF($D$2:$EE$2,BE$2-1,$D30:$EE30)/12)*(1+XLOOKUP(BE$2,Assumptions!$C$94:$M$94,Assumptions!$C$98:$M$98))))</f>
        <v>-1488.146604</v>
      </c>
      <c r="BF30" s="54">
        <f t="array" ref="BF30">-(IF(BF$2=1,Assumptions!$X31/12,-(SUMIF($D$2:$EE$2,BF$2-1,$D30:$EE30)/12)*(1+XLOOKUP(BF$2,Assumptions!$C$94:$M$94,Assumptions!$C$98:$M$98))))</f>
        <v>-1488.146604</v>
      </c>
      <c r="BG30" s="54">
        <f t="array" ref="BG30">-(IF(BG$2=1,Assumptions!$X31/12,-(SUMIF($D$2:$EE$2,BG$2-1,$D30:$EE30)/12)*(1+XLOOKUP(BG$2,Assumptions!$C$94:$M$94,Assumptions!$C$98:$M$98))))</f>
        <v>-1488.146604</v>
      </c>
      <c r="BH30" s="54">
        <f t="array" ref="BH30">-(IF(BH$2=1,Assumptions!$X31/12,-(SUMIF($D$2:$EE$2,BH$2-1,$D30:$EE30)/12)*(1+XLOOKUP(BH$2,Assumptions!$C$94:$M$94,Assumptions!$C$98:$M$98))))</f>
        <v>-1488.146604</v>
      </c>
      <c r="BI30" s="54">
        <f t="array" ref="BI30">-(IF(BI$2=1,Assumptions!$X31/12,-(SUMIF($D$2:$EE$2,BI$2-1,$D30:$EE30)/12)*(1+XLOOKUP(BI$2,Assumptions!$C$94:$M$94,Assumptions!$C$98:$M$98))))</f>
        <v>-1488.146604</v>
      </c>
      <c r="BJ30" s="54">
        <f t="array" ref="BJ30">-(IF(BJ$2=1,Assumptions!$X31/12,-(SUMIF($D$2:$EE$2,BJ$2-1,$D30:$EE30)/12)*(1+XLOOKUP(BJ$2,Assumptions!$C$94:$M$94,Assumptions!$C$98:$M$98))))</f>
        <v>-1488.146604</v>
      </c>
      <c r="BK30" s="54">
        <f t="array" ref="BK30">-(IF(BK$2=1,Assumptions!$X31/12,-(SUMIF($D$2:$EE$2,BK$2-1,$D30:$EE30)/12)*(1+XLOOKUP(BK$2,Assumptions!$C$94:$M$94,Assumptions!$C$98:$M$98))))</f>
        <v>-1488.146604</v>
      </c>
      <c r="BL30" s="54">
        <f t="array" ref="BL30">-(IF(BL$2=1,Assumptions!$X31/12,-(SUMIF($D$2:$EE$2,BL$2-1,$D30:$EE30)/12)*(1+XLOOKUP(BL$2,Assumptions!$C$94:$M$94,Assumptions!$C$98:$M$98))))</f>
        <v>-1532.791002</v>
      </c>
      <c r="BM30" s="54">
        <f t="array" ref="BM30">-(IF(BM$2=1,Assumptions!$X31/12,-(SUMIF($D$2:$EE$2,BM$2-1,$D30:$EE30)/12)*(1+XLOOKUP(BM$2,Assumptions!$C$94:$M$94,Assumptions!$C$98:$M$98))))</f>
        <v>-1532.791002</v>
      </c>
      <c r="BN30" s="54">
        <f t="array" ref="BN30">-(IF(BN$2=1,Assumptions!$X31/12,-(SUMIF($D$2:$EE$2,BN$2-1,$D30:$EE30)/12)*(1+XLOOKUP(BN$2,Assumptions!$C$94:$M$94,Assumptions!$C$98:$M$98))))</f>
        <v>-1532.791002</v>
      </c>
      <c r="BO30" s="54">
        <f t="array" ref="BO30">-(IF(BO$2=1,Assumptions!$X31/12,-(SUMIF($D$2:$EE$2,BO$2-1,$D30:$EE30)/12)*(1+XLOOKUP(BO$2,Assumptions!$C$94:$M$94,Assumptions!$C$98:$M$98))))</f>
        <v>-1532.791002</v>
      </c>
      <c r="BP30" s="54">
        <f t="array" ref="BP30">-(IF(BP$2=1,Assumptions!$X31/12,-(SUMIF($D$2:$EE$2,BP$2-1,$D30:$EE30)/12)*(1+XLOOKUP(BP$2,Assumptions!$C$94:$M$94,Assumptions!$C$98:$M$98))))</f>
        <v>-1532.791002</v>
      </c>
      <c r="BQ30" s="54">
        <f t="array" ref="BQ30">-(IF(BQ$2=1,Assumptions!$X31/12,-(SUMIF($D$2:$EE$2,BQ$2-1,$D30:$EE30)/12)*(1+XLOOKUP(BQ$2,Assumptions!$C$94:$M$94,Assumptions!$C$98:$M$98))))</f>
        <v>-1532.791002</v>
      </c>
      <c r="BR30" s="54">
        <f t="array" ref="BR30">-(IF(BR$2=1,Assumptions!$X31/12,-(SUMIF($D$2:$EE$2,BR$2-1,$D30:$EE30)/12)*(1+XLOOKUP(BR$2,Assumptions!$C$94:$M$94,Assumptions!$C$98:$M$98))))</f>
        <v>-1532.791002</v>
      </c>
      <c r="BS30" s="54">
        <f t="array" ref="BS30">-(IF(BS$2=1,Assumptions!$X31/12,-(SUMIF($D$2:$EE$2,BS$2-1,$D30:$EE30)/12)*(1+XLOOKUP(BS$2,Assumptions!$C$94:$M$94,Assumptions!$C$98:$M$98))))</f>
        <v>-1532.791002</v>
      </c>
      <c r="BT30" s="54">
        <f t="array" ref="BT30">-(IF(BT$2=1,Assumptions!$X31/12,-(SUMIF($D$2:$EE$2,BT$2-1,$D30:$EE30)/12)*(1+XLOOKUP(BT$2,Assumptions!$C$94:$M$94,Assumptions!$C$98:$M$98))))</f>
        <v>-1532.791002</v>
      </c>
      <c r="BU30" s="54">
        <f t="array" ref="BU30">-(IF(BU$2=1,Assumptions!$X31/12,-(SUMIF($D$2:$EE$2,BU$2-1,$D30:$EE30)/12)*(1+XLOOKUP(BU$2,Assumptions!$C$94:$M$94,Assumptions!$C$98:$M$98))))</f>
        <v>-1532.791002</v>
      </c>
      <c r="BV30" s="54">
        <f t="array" ref="BV30">-(IF(BV$2=1,Assumptions!$X31/12,-(SUMIF($D$2:$EE$2,BV$2-1,$D30:$EE30)/12)*(1+XLOOKUP(BV$2,Assumptions!$C$94:$M$94,Assumptions!$C$98:$M$98))))</f>
        <v>-1532.791002</v>
      </c>
      <c r="BW30" s="54">
        <f t="array" ref="BW30">-(IF(BW$2=1,Assumptions!$X31/12,-(SUMIF($D$2:$EE$2,BW$2-1,$D30:$EE30)/12)*(1+XLOOKUP(BW$2,Assumptions!$C$94:$M$94,Assumptions!$C$98:$M$98))))</f>
        <v>-1532.791002</v>
      </c>
      <c r="BX30" s="54">
        <f t="array" ref="BX30">-(IF(BX$2=1,Assumptions!$X31/12,-(SUMIF($D$2:$EE$2,BX$2-1,$D30:$EE30)/12)*(1+XLOOKUP(BX$2,Assumptions!$C$94:$M$94,Assumptions!$C$98:$M$98))))</f>
        <v>-1578.774733</v>
      </c>
      <c r="BY30" s="54">
        <f t="array" ref="BY30">-(IF(BY$2=1,Assumptions!$X31/12,-(SUMIF($D$2:$EE$2,BY$2-1,$D30:$EE30)/12)*(1+XLOOKUP(BY$2,Assumptions!$C$94:$M$94,Assumptions!$C$98:$M$98))))</f>
        <v>-1578.774733</v>
      </c>
      <c r="BZ30" s="54">
        <f t="array" ref="BZ30">-(IF(BZ$2=1,Assumptions!$X31/12,-(SUMIF($D$2:$EE$2,BZ$2-1,$D30:$EE30)/12)*(1+XLOOKUP(BZ$2,Assumptions!$C$94:$M$94,Assumptions!$C$98:$M$98))))</f>
        <v>-1578.774733</v>
      </c>
      <c r="CA30" s="54">
        <f t="array" ref="CA30">-(IF(CA$2=1,Assumptions!$X31/12,-(SUMIF($D$2:$EE$2,CA$2-1,$D30:$EE30)/12)*(1+XLOOKUP(CA$2,Assumptions!$C$94:$M$94,Assumptions!$C$98:$M$98))))</f>
        <v>-1578.774733</v>
      </c>
      <c r="CB30" s="54">
        <f t="array" ref="CB30">-(IF(CB$2=1,Assumptions!$X31/12,-(SUMIF($D$2:$EE$2,CB$2-1,$D30:$EE30)/12)*(1+XLOOKUP(CB$2,Assumptions!$C$94:$M$94,Assumptions!$C$98:$M$98))))</f>
        <v>-1578.774733</v>
      </c>
      <c r="CC30" s="54">
        <f t="array" ref="CC30">-(IF(CC$2=1,Assumptions!$X31/12,-(SUMIF($D$2:$EE$2,CC$2-1,$D30:$EE30)/12)*(1+XLOOKUP(CC$2,Assumptions!$C$94:$M$94,Assumptions!$C$98:$M$98))))</f>
        <v>-1578.774733</v>
      </c>
      <c r="CD30" s="54">
        <f t="array" ref="CD30">-(IF(CD$2=1,Assumptions!$X31/12,-(SUMIF($D$2:$EE$2,CD$2-1,$D30:$EE30)/12)*(1+XLOOKUP(CD$2,Assumptions!$C$94:$M$94,Assumptions!$C$98:$M$98))))</f>
        <v>-1578.774733</v>
      </c>
      <c r="CE30" s="54">
        <f t="array" ref="CE30">-(IF(CE$2=1,Assumptions!$X31/12,-(SUMIF($D$2:$EE$2,CE$2-1,$D30:$EE30)/12)*(1+XLOOKUP(CE$2,Assumptions!$C$94:$M$94,Assumptions!$C$98:$M$98))))</f>
        <v>-1578.774733</v>
      </c>
      <c r="CF30" s="54">
        <f t="array" ref="CF30">-(IF(CF$2=1,Assumptions!$X31/12,-(SUMIF($D$2:$EE$2,CF$2-1,$D30:$EE30)/12)*(1+XLOOKUP(CF$2,Assumptions!$C$94:$M$94,Assumptions!$C$98:$M$98))))</f>
        <v>-1578.774733</v>
      </c>
      <c r="CG30" s="54">
        <f t="array" ref="CG30">-(IF(CG$2=1,Assumptions!$X31/12,-(SUMIF($D$2:$EE$2,CG$2-1,$D30:$EE30)/12)*(1+XLOOKUP(CG$2,Assumptions!$C$94:$M$94,Assumptions!$C$98:$M$98))))</f>
        <v>-1578.774733</v>
      </c>
      <c r="CH30" s="54">
        <f t="array" ref="CH30">-(IF(CH$2=1,Assumptions!$X31/12,-(SUMIF($D$2:$EE$2,CH$2-1,$D30:$EE30)/12)*(1+XLOOKUP(CH$2,Assumptions!$C$94:$M$94,Assumptions!$C$98:$M$98))))</f>
        <v>-1578.774733</v>
      </c>
      <c r="CI30" s="54">
        <f t="array" ref="CI30">-(IF(CI$2=1,Assumptions!$X31/12,-(SUMIF($D$2:$EE$2,CI$2-1,$D30:$EE30)/12)*(1+XLOOKUP(CI$2,Assumptions!$C$94:$M$94,Assumptions!$C$98:$M$98))))</f>
        <v>-1578.774733</v>
      </c>
      <c r="CJ30" s="54">
        <f t="array" ref="CJ30">-(IF(CJ$2=1,Assumptions!$X31/12,-(SUMIF($D$2:$EE$2,CJ$2-1,$D30:$EE30)/12)*(1+XLOOKUP(CJ$2,Assumptions!$C$94:$M$94,Assumptions!$C$98:$M$98))))</f>
        <v>-1626.137974</v>
      </c>
      <c r="CK30" s="54">
        <f t="array" ref="CK30">-(IF(CK$2=1,Assumptions!$X31/12,-(SUMIF($D$2:$EE$2,CK$2-1,$D30:$EE30)/12)*(1+XLOOKUP(CK$2,Assumptions!$C$94:$M$94,Assumptions!$C$98:$M$98))))</f>
        <v>-1626.137974</v>
      </c>
      <c r="CL30" s="54">
        <f t="array" ref="CL30">-(IF(CL$2=1,Assumptions!$X31/12,-(SUMIF($D$2:$EE$2,CL$2-1,$D30:$EE30)/12)*(1+XLOOKUP(CL$2,Assumptions!$C$94:$M$94,Assumptions!$C$98:$M$98))))</f>
        <v>-1626.137974</v>
      </c>
      <c r="CM30" s="54">
        <f t="array" ref="CM30">-(IF(CM$2=1,Assumptions!$X31/12,-(SUMIF($D$2:$EE$2,CM$2-1,$D30:$EE30)/12)*(1+XLOOKUP(CM$2,Assumptions!$C$94:$M$94,Assumptions!$C$98:$M$98))))</f>
        <v>-1626.137974</v>
      </c>
      <c r="CN30" s="54">
        <f t="array" ref="CN30">-(IF(CN$2=1,Assumptions!$X31/12,-(SUMIF($D$2:$EE$2,CN$2-1,$D30:$EE30)/12)*(1+XLOOKUP(CN$2,Assumptions!$C$94:$M$94,Assumptions!$C$98:$M$98))))</f>
        <v>-1626.137974</v>
      </c>
      <c r="CO30" s="54">
        <f t="array" ref="CO30">-(IF(CO$2=1,Assumptions!$X31/12,-(SUMIF($D$2:$EE$2,CO$2-1,$D30:$EE30)/12)*(1+XLOOKUP(CO$2,Assumptions!$C$94:$M$94,Assumptions!$C$98:$M$98))))</f>
        <v>-1626.137974</v>
      </c>
      <c r="CP30" s="54">
        <f t="array" ref="CP30">-(IF(CP$2=1,Assumptions!$X31/12,-(SUMIF($D$2:$EE$2,CP$2-1,$D30:$EE30)/12)*(1+XLOOKUP(CP$2,Assumptions!$C$94:$M$94,Assumptions!$C$98:$M$98))))</f>
        <v>-1626.137974</v>
      </c>
      <c r="CQ30" s="54">
        <f t="array" ref="CQ30">-(IF(CQ$2=1,Assumptions!$X31/12,-(SUMIF($D$2:$EE$2,CQ$2-1,$D30:$EE30)/12)*(1+XLOOKUP(CQ$2,Assumptions!$C$94:$M$94,Assumptions!$C$98:$M$98))))</f>
        <v>-1626.137974</v>
      </c>
      <c r="CR30" s="54">
        <f t="array" ref="CR30">-(IF(CR$2=1,Assumptions!$X31/12,-(SUMIF($D$2:$EE$2,CR$2-1,$D30:$EE30)/12)*(1+XLOOKUP(CR$2,Assumptions!$C$94:$M$94,Assumptions!$C$98:$M$98))))</f>
        <v>-1626.137974</v>
      </c>
      <c r="CS30" s="54">
        <f t="array" ref="CS30">-(IF(CS$2=1,Assumptions!$X31/12,-(SUMIF($D$2:$EE$2,CS$2-1,$D30:$EE30)/12)*(1+XLOOKUP(CS$2,Assumptions!$C$94:$M$94,Assumptions!$C$98:$M$98))))</f>
        <v>-1626.137974</v>
      </c>
      <c r="CT30" s="54">
        <f t="array" ref="CT30">-(IF(CT$2=1,Assumptions!$X31/12,-(SUMIF($D$2:$EE$2,CT$2-1,$D30:$EE30)/12)*(1+XLOOKUP(CT$2,Assumptions!$C$94:$M$94,Assumptions!$C$98:$M$98))))</f>
        <v>-1626.137974</v>
      </c>
      <c r="CU30" s="54">
        <f t="array" ref="CU30">-(IF(CU$2=1,Assumptions!$X31/12,-(SUMIF($D$2:$EE$2,CU$2-1,$D30:$EE30)/12)*(1+XLOOKUP(CU$2,Assumptions!$C$94:$M$94,Assumptions!$C$98:$M$98))))</f>
        <v>-1626.137974</v>
      </c>
      <c r="CV30" s="54">
        <f t="array" ref="CV30">-(IF(CV$2=1,Assumptions!$X31/12,-(SUMIF($D$2:$EE$2,CV$2-1,$D30:$EE30)/12)*(1+XLOOKUP(CV$2,Assumptions!$C$94:$M$94,Assumptions!$C$98:$M$98))))</f>
        <v>-1674.922114</v>
      </c>
      <c r="CW30" s="54">
        <f t="array" ref="CW30">-(IF(CW$2=1,Assumptions!$X31/12,-(SUMIF($D$2:$EE$2,CW$2-1,$D30:$EE30)/12)*(1+XLOOKUP(CW$2,Assumptions!$C$94:$M$94,Assumptions!$C$98:$M$98))))</f>
        <v>-1674.922114</v>
      </c>
      <c r="CX30" s="54">
        <f t="array" ref="CX30">-(IF(CX$2=1,Assumptions!$X31/12,-(SUMIF($D$2:$EE$2,CX$2-1,$D30:$EE30)/12)*(1+XLOOKUP(CX$2,Assumptions!$C$94:$M$94,Assumptions!$C$98:$M$98))))</f>
        <v>-1674.922114</v>
      </c>
      <c r="CY30" s="54">
        <f t="array" ref="CY30">-(IF(CY$2=1,Assumptions!$X31/12,-(SUMIF($D$2:$EE$2,CY$2-1,$D30:$EE30)/12)*(1+XLOOKUP(CY$2,Assumptions!$C$94:$M$94,Assumptions!$C$98:$M$98))))</f>
        <v>-1674.922114</v>
      </c>
      <c r="CZ30" s="54">
        <f t="array" ref="CZ30">-(IF(CZ$2=1,Assumptions!$X31/12,-(SUMIF($D$2:$EE$2,CZ$2-1,$D30:$EE30)/12)*(1+XLOOKUP(CZ$2,Assumptions!$C$94:$M$94,Assumptions!$C$98:$M$98))))</f>
        <v>-1674.922114</v>
      </c>
      <c r="DA30" s="54">
        <f t="array" ref="DA30">-(IF(DA$2=1,Assumptions!$X31/12,-(SUMIF($D$2:$EE$2,DA$2-1,$D30:$EE30)/12)*(1+XLOOKUP(DA$2,Assumptions!$C$94:$M$94,Assumptions!$C$98:$M$98))))</f>
        <v>-1674.922114</v>
      </c>
      <c r="DB30" s="54">
        <f t="array" ref="DB30">-(IF(DB$2=1,Assumptions!$X31/12,-(SUMIF($D$2:$EE$2,DB$2-1,$D30:$EE30)/12)*(1+XLOOKUP(DB$2,Assumptions!$C$94:$M$94,Assumptions!$C$98:$M$98))))</f>
        <v>-1674.922114</v>
      </c>
      <c r="DC30" s="54">
        <f t="array" ref="DC30">-(IF(DC$2=1,Assumptions!$X31/12,-(SUMIF($D$2:$EE$2,DC$2-1,$D30:$EE30)/12)*(1+XLOOKUP(DC$2,Assumptions!$C$94:$M$94,Assumptions!$C$98:$M$98))))</f>
        <v>-1674.922114</v>
      </c>
      <c r="DD30" s="54">
        <f t="array" ref="DD30">-(IF(DD$2=1,Assumptions!$X31/12,-(SUMIF($D$2:$EE$2,DD$2-1,$D30:$EE30)/12)*(1+XLOOKUP(DD$2,Assumptions!$C$94:$M$94,Assumptions!$C$98:$M$98))))</f>
        <v>-1674.922114</v>
      </c>
      <c r="DE30" s="54">
        <f t="array" ref="DE30">-(IF(DE$2=1,Assumptions!$X31/12,-(SUMIF($D$2:$EE$2,DE$2-1,$D30:$EE30)/12)*(1+XLOOKUP(DE$2,Assumptions!$C$94:$M$94,Assumptions!$C$98:$M$98))))</f>
        <v>-1674.922114</v>
      </c>
      <c r="DF30" s="54">
        <f t="array" ref="DF30">-(IF(DF$2=1,Assumptions!$X31/12,-(SUMIF($D$2:$EE$2,DF$2-1,$D30:$EE30)/12)*(1+XLOOKUP(DF$2,Assumptions!$C$94:$M$94,Assumptions!$C$98:$M$98))))</f>
        <v>-1674.922114</v>
      </c>
      <c r="DG30" s="54">
        <f t="array" ref="DG30">-(IF(DG$2=1,Assumptions!$X31/12,-(SUMIF($D$2:$EE$2,DG$2-1,$D30:$EE30)/12)*(1+XLOOKUP(DG$2,Assumptions!$C$94:$M$94,Assumptions!$C$98:$M$98))))</f>
        <v>-1674.922114</v>
      </c>
      <c r="DH30" s="54">
        <f t="array" ref="DH30">-(IF(DH$2=1,Assumptions!$X31/12,-(SUMIF($D$2:$EE$2,DH$2-1,$D30:$EE30)/12)*(1+XLOOKUP(DH$2,Assumptions!$C$94:$M$94,Assumptions!$C$98:$M$98))))</f>
        <v>-1725.169777</v>
      </c>
      <c r="DI30" s="54">
        <f t="array" ref="DI30">-(IF(DI$2=1,Assumptions!$X31/12,-(SUMIF($D$2:$EE$2,DI$2-1,$D30:$EE30)/12)*(1+XLOOKUP(DI$2,Assumptions!$C$94:$M$94,Assumptions!$C$98:$M$98))))</f>
        <v>-1725.169777</v>
      </c>
      <c r="DJ30" s="54">
        <f t="array" ref="DJ30">-(IF(DJ$2=1,Assumptions!$X31/12,-(SUMIF($D$2:$EE$2,DJ$2-1,$D30:$EE30)/12)*(1+XLOOKUP(DJ$2,Assumptions!$C$94:$M$94,Assumptions!$C$98:$M$98))))</f>
        <v>-1725.169777</v>
      </c>
      <c r="DK30" s="54">
        <f t="array" ref="DK30">-(IF(DK$2=1,Assumptions!$X31/12,-(SUMIF($D$2:$EE$2,DK$2-1,$D30:$EE30)/12)*(1+XLOOKUP(DK$2,Assumptions!$C$94:$M$94,Assumptions!$C$98:$M$98))))</f>
        <v>-1725.169777</v>
      </c>
      <c r="DL30" s="54">
        <f t="array" ref="DL30">-(IF(DL$2=1,Assumptions!$X31/12,-(SUMIF($D$2:$EE$2,DL$2-1,$D30:$EE30)/12)*(1+XLOOKUP(DL$2,Assumptions!$C$94:$M$94,Assumptions!$C$98:$M$98))))</f>
        <v>-1725.169777</v>
      </c>
      <c r="DM30" s="54">
        <f t="array" ref="DM30">-(IF(DM$2=1,Assumptions!$X31/12,-(SUMIF($D$2:$EE$2,DM$2-1,$D30:$EE30)/12)*(1+XLOOKUP(DM$2,Assumptions!$C$94:$M$94,Assumptions!$C$98:$M$98))))</f>
        <v>-1725.169777</v>
      </c>
      <c r="DN30" s="54">
        <f t="array" ref="DN30">-(IF(DN$2=1,Assumptions!$X31/12,-(SUMIF($D$2:$EE$2,DN$2-1,$D30:$EE30)/12)*(1+XLOOKUP(DN$2,Assumptions!$C$94:$M$94,Assumptions!$C$98:$M$98))))</f>
        <v>-1725.169777</v>
      </c>
      <c r="DO30" s="54">
        <f t="array" ref="DO30">-(IF(DO$2=1,Assumptions!$X31/12,-(SUMIF($D$2:$EE$2,DO$2-1,$D30:$EE30)/12)*(1+XLOOKUP(DO$2,Assumptions!$C$94:$M$94,Assumptions!$C$98:$M$98))))</f>
        <v>-1725.169777</v>
      </c>
      <c r="DP30" s="54">
        <f t="array" ref="DP30">-(IF(DP$2=1,Assumptions!$X31/12,-(SUMIF($D$2:$EE$2,DP$2-1,$D30:$EE30)/12)*(1+XLOOKUP(DP$2,Assumptions!$C$94:$M$94,Assumptions!$C$98:$M$98))))</f>
        <v>-1725.169777</v>
      </c>
      <c r="DQ30" s="54">
        <f t="array" ref="DQ30">-(IF(DQ$2=1,Assumptions!$X31/12,-(SUMIF($D$2:$EE$2,DQ$2-1,$D30:$EE30)/12)*(1+XLOOKUP(DQ$2,Assumptions!$C$94:$M$94,Assumptions!$C$98:$M$98))))</f>
        <v>-1725.169777</v>
      </c>
      <c r="DR30" s="54">
        <f t="array" ref="DR30">-(IF(DR$2=1,Assumptions!$X31/12,-(SUMIF($D$2:$EE$2,DR$2-1,$D30:$EE30)/12)*(1+XLOOKUP(DR$2,Assumptions!$C$94:$M$94,Assumptions!$C$98:$M$98))))</f>
        <v>-1725.169777</v>
      </c>
      <c r="DS30" s="54">
        <f t="array" ref="DS30">-(IF(DS$2=1,Assumptions!$X31/12,-(SUMIF($D$2:$EE$2,DS$2-1,$D30:$EE30)/12)*(1+XLOOKUP(DS$2,Assumptions!$C$94:$M$94,Assumptions!$C$98:$M$98))))</f>
        <v>-1725.169777</v>
      </c>
      <c r="DT30" s="54">
        <f t="array" ref="DT30">-(IF(DT$2=1,Assumptions!$X31/12,-(SUMIF($D$2:$EE$2,DT$2-1,$D30:$EE30)/12)*(1+XLOOKUP(DT$2,Assumptions!$C$94:$M$94,Assumptions!$C$98:$M$98))))</f>
        <v>-1776.92487</v>
      </c>
      <c r="DU30" s="54">
        <f t="array" ref="DU30">-(IF(DU$2=1,Assumptions!$X31/12,-(SUMIF($D$2:$EE$2,DU$2-1,$D30:$EE30)/12)*(1+XLOOKUP(DU$2,Assumptions!$C$94:$M$94,Assumptions!$C$98:$M$98))))</f>
        <v>-1776.92487</v>
      </c>
      <c r="DV30" s="54">
        <f t="array" ref="DV30">-(IF(DV$2=1,Assumptions!$X31/12,-(SUMIF($D$2:$EE$2,DV$2-1,$D30:$EE30)/12)*(1+XLOOKUP(DV$2,Assumptions!$C$94:$M$94,Assumptions!$C$98:$M$98))))</f>
        <v>-1776.92487</v>
      </c>
      <c r="DW30" s="54">
        <f t="array" ref="DW30">-(IF(DW$2=1,Assumptions!$X31/12,-(SUMIF($D$2:$EE$2,DW$2-1,$D30:$EE30)/12)*(1+XLOOKUP(DW$2,Assumptions!$C$94:$M$94,Assumptions!$C$98:$M$98))))</f>
        <v>-1776.92487</v>
      </c>
      <c r="DX30" s="54">
        <f t="array" ref="DX30">-(IF(DX$2=1,Assumptions!$X31/12,-(SUMIF($D$2:$EE$2,DX$2-1,$D30:$EE30)/12)*(1+XLOOKUP(DX$2,Assumptions!$C$94:$M$94,Assumptions!$C$98:$M$98))))</f>
        <v>-1776.92487</v>
      </c>
      <c r="DY30" s="54">
        <f t="array" ref="DY30">-(IF(DY$2=1,Assumptions!$X31/12,-(SUMIF($D$2:$EE$2,DY$2-1,$D30:$EE30)/12)*(1+XLOOKUP(DY$2,Assumptions!$C$94:$M$94,Assumptions!$C$98:$M$98))))</f>
        <v>-1776.92487</v>
      </c>
      <c r="DZ30" s="54">
        <f t="array" ref="DZ30">-(IF(DZ$2=1,Assumptions!$X31/12,-(SUMIF($D$2:$EE$2,DZ$2-1,$D30:$EE30)/12)*(1+XLOOKUP(DZ$2,Assumptions!$C$94:$M$94,Assumptions!$C$98:$M$98))))</f>
        <v>-1776.92487</v>
      </c>
      <c r="EA30" s="54">
        <f t="array" ref="EA30">-(IF(EA$2=1,Assumptions!$X31/12,-(SUMIF($D$2:$EE$2,EA$2-1,$D30:$EE30)/12)*(1+XLOOKUP(EA$2,Assumptions!$C$94:$M$94,Assumptions!$C$98:$M$98))))</f>
        <v>-1776.92487</v>
      </c>
      <c r="EB30" s="54">
        <f t="array" ref="EB30">-(IF(EB$2=1,Assumptions!$X31/12,-(SUMIF($D$2:$EE$2,EB$2-1,$D30:$EE30)/12)*(1+XLOOKUP(EB$2,Assumptions!$C$94:$M$94,Assumptions!$C$98:$M$98))))</f>
        <v>-1776.92487</v>
      </c>
      <c r="EC30" s="54">
        <f t="array" ref="EC30">-(IF(EC$2=1,Assumptions!$X31/12,-(SUMIF($D$2:$EE$2,EC$2-1,$D30:$EE30)/12)*(1+XLOOKUP(EC$2,Assumptions!$C$94:$M$94,Assumptions!$C$98:$M$98))))</f>
        <v>-1776.92487</v>
      </c>
      <c r="ED30" s="54">
        <f t="array" ref="ED30">-(IF(ED$2=1,Assumptions!$X31/12,-(SUMIF($D$2:$EE$2,ED$2-1,$D30:$EE30)/12)*(1+XLOOKUP(ED$2,Assumptions!$C$94:$M$94,Assumptions!$C$98:$M$98))))</f>
        <v>-1776.92487</v>
      </c>
      <c r="EE30" s="54">
        <f t="array" ref="EE30">-(IF(EE$2=1,Assumptions!$X31/12,-(SUMIF($D$2:$EE$2,EE$2-1,$D30:$EE30)/12)*(1+XLOOKUP(EE$2,Assumptions!$C$94:$M$94,Assumptions!$C$98:$M$98))))</f>
        <v>-1776.92487</v>
      </c>
    </row>
    <row r="31" ht="15.75" customHeight="1">
      <c r="A31" s="1"/>
      <c r="B31" s="1"/>
      <c r="C31" s="1" t="str">
        <f>Assumptions!J32</f>
        <v>Repair &amp; Maintenance</v>
      </c>
      <c r="D31" s="54">
        <f t="array" ref="D31">-(IF(D$2=1,Assumptions!$X32/12,-(SUMIF($D$2:$EE$2,D$2-1,$D31:$EE31)/12)*(1+XLOOKUP(D$2,Assumptions!$C$94:$M$94,Assumptions!$C$98:$M$98))))</f>
        <v>-2207.209317</v>
      </c>
      <c r="E31" s="54">
        <f t="array" ref="E31">-(IF(E$2=1,Assumptions!$X32/12,-(SUMIF($D$2:$EE$2,E$2-1,$D31:$EE31)/12)*(1+XLOOKUP(E$2,Assumptions!$C$94:$M$94,Assumptions!$C$98:$M$98))))</f>
        <v>-2207.209317</v>
      </c>
      <c r="F31" s="54">
        <f t="array" ref="F31">-(IF(F$2=1,Assumptions!$X32/12,-(SUMIF($D$2:$EE$2,F$2-1,$D31:$EE31)/12)*(1+XLOOKUP(F$2,Assumptions!$C$94:$M$94,Assumptions!$C$98:$M$98))))</f>
        <v>-2207.209317</v>
      </c>
      <c r="G31" s="54">
        <f t="array" ref="G31">-(IF(G$2=1,Assumptions!$X32/12,-(SUMIF($D$2:$EE$2,G$2-1,$D31:$EE31)/12)*(1+XLOOKUP(G$2,Assumptions!$C$94:$M$94,Assumptions!$C$98:$M$98))))</f>
        <v>-2207.209317</v>
      </c>
      <c r="H31" s="54">
        <f t="array" ref="H31">-(IF(H$2=1,Assumptions!$X32/12,-(SUMIF($D$2:$EE$2,H$2-1,$D31:$EE31)/12)*(1+XLOOKUP(H$2,Assumptions!$C$94:$M$94,Assumptions!$C$98:$M$98))))</f>
        <v>-2207.209317</v>
      </c>
      <c r="I31" s="54">
        <f t="array" ref="I31">-(IF(I$2=1,Assumptions!$X32/12,-(SUMIF($D$2:$EE$2,I$2-1,$D31:$EE31)/12)*(1+XLOOKUP(I$2,Assumptions!$C$94:$M$94,Assumptions!$C$98:$M$98))))</f>
        <v>-2207.209317</v>
      </c>
      <c r="J31" s="54">
        <f t="array" ref="J31">-(IF(J$2=1,Assumptions!$X32/12,-(SUMIF($D$2:$EE$2,J$2-1,$D31:$EE31)/12)*(1+XLOOKUP(J$2,Assumptions!$C$94:$M$94,Assumptions!$C$98:$M$98))))</f>
        <v>-2207.209317</v>
      </c>
      <c r="K31" s="54">
        <f t="array" ref="K31">-(IF(K$2=1,Assumptions!$X32/12,-(SUMIF($D$2:$EE$2,K$2-1,$D31:$EE31)/12)*(1+XLOOKUP(K$2,Assumptions!$C$94:$M$94,Assumptions!$C$98:$M$98))))</f>
        <v>-2207.209317</v>
      </c>
      <c r="L31" s="54">
        <f t="array" ref="L31">-(IF(L$2=1,Assumptions!$X32/12,-(SUMIF($D$2:$EE$2,L$2-1,$D31:$EE31)/12)*(1+XLOOKUP(L$2,Assumptions!$C$94:$M$94,Assumptions!$C$98:$M$98))))</f>
        <v>-2207.209317</v>
      </c>
      <c r="M31" s="54">
        <f t="array" ref="M31">-(IF(M$2=1,Assumptions!$X32/12,-(SUMIF($D$2:$EE$2,M$2-1,$D31:$EE31)/12)*(1+XLOOKUP(M$2,Assumptions!$C$94:$M$94,Assumptions!$C$98:$M$98))))</f>
        <v>-2207.209317</v>
      </c>
      <c r="N31" s="54">
        <f t="array" ref="N31">-(IF(N$2=1,Assumptions!$X32/12,-(SUMIF($D$2:$EE$2,N$2-1,$D31:$EE31)/12)*(1+XLOOKUP(N$2,Assumptions!$C$94:$M$94,Assumptions!$C$98:$M$98))))</f>
        <v>-2207.209317</v>
      </c>
      <c r="O31" s="54">
        <f t="array" ref="O31">-(IF(O$2=1,Assumptions!$X32/12,-(SUMIF($D$2:$EE$2,O$2-1,$D31:$EE31)/12)*(1+XLOOKUP(O$2,Assumptions!$C$94:$M$94,Assumptions!$C$98:$M$98))))</f>
        <v>-2207.209317</v>
      </c>
      <c r="P31" s="54">
        <f t="array" ref="P31">-(IF(P$2=1,Assumptions!$X32/12,-(SUMIF($D$2:$EE$2,P$2-1,$D31:$EE31)/12)*(1+XLOOKUP(P$2,Assumptions!$C$94:$M$94,Assumptions!$C$98:$M$98))))</f>
        <v>-2273.425596</v>
      </c>
      <c r="Q31" s="54">
        <f t="array" ref="Q31">-(IF(Q$2=1,Assumptions!$X32/12,-(SUMIF($D$2:$EE$2,Q$2-1,$D31:$EE31)/12)*(1+XLOOKUP(Q$2,Assumptions!$C$94:$M$94,Assumptions!$C$98:$M$98))))</f>
        <v>-2273.425596</v>
      </c>
      <c r="R31" s="54">
        <f t="array" ref="R31">-(IF(R$2=1,Assumptions!$X32/12,-(SUMIF($D$2:$EE$2,R$2-1,$D31:$EE31)/12)*(1+XLOOKUP(R$2,Assumptions!$C$94:$M$94,Assumptions!$C$98:$M$98))))</f>
        <v>-2273.425596</v>
      </c>
      <c r="S31" s="54">
        <f t="array" ref="S31">-(IF(S$2=1,Assumptions!$X32/12,-(SUMIF($D$2:$EE$2,S$2-1,$D31:$EE31)/12)*(1+XLOOKUP(S$2,Assumptions!$C$94:$M$94,Assumptions!$C$98:$M$98))))</f>
        <v>-2273.425596</v>
      </c>
      <c r="T31" s="54">
        <f t="array" ref="T31">-(IF(T$2=1,Assumptions!$X32/12,-(SUMIF($D$2:$EE$2,T$2-1,$D31:$EE31)/12)*(1+XLOOKUP(T$2,Assumptions!$C$94:$M$94,Assumptions!$C$98:$M$98))))</f>
        <v>-2273.425596</v>
      </c>
      <c r="U31" s="54">
        <f t="array" ref="U31">-(IF(U$2=1,Assumptions!$X32/12,-(SUMIF($D$2:$EE$2,U$2-1,$D31:$EE31)/12)*(1+XLOOKUP(U$2,Assumptions!$C$94:$M$94,Assumptions!$C$98:$M$98))))</f>
        <v>-2273.425596</v>
      </c>
      <c r="V31" s="54">
        <f t="array" ref="V31">-(IF(V$2=1,Assumptions!$X32/12,-(SUMIF($D$2:$EE$2,V$2-1,$D31:$EE31)/12)*(1+XLOOKUP(V$2,Assumptions!$C$94:$M$94,Assumptions!$C$98:$M$98))))</f>
        <v>-2273.425596</v>
      </c>
      <c r="W31" s="54">
        <f t="array" ref="W31">-(IF(W$2=1,Assumptions!$X32/12,-(SUMIF($D$2:$EE$2,W$2-1,$D31:$EE31)/12)*(1+XLOOKUP(W$2,Assumptions!$C$94:$M$94,Assumptions!$C$98:$M$98))))</f>
        <v>-2273.425596</v>
      </c>
      <c r="X31" s="54">
        <f t="array" ref="X31">-(IF(X$2=1,Assumptions!$X32/12,-(SUMIF($D$2:$EE$2,X$2-1,$D31:$EE31)/12)*(1+XLOOKUP(X$2,Assumptions!$C$94:$M$94,Assumptions!$C$98:$M$98))))</f>
        <v>-2273.425596</v>
      </c>
      <c r="Y31" s="54">
        <f t="array" ref="Y31">-(IF(Y$2=1,Assumptions!$X32/12,-(SUMIF($D$2:$EE$2,Y$2-1,$D31:$EE31)/12)*(1+XLOOKUP(Y$2,Assumptions!$C$94:$M$94,Assumptions!$C$98:$M$98))))</f>
        <v>-2273.425596</v>
      </c>
      <c r="Z31" s="54">
        <f t="array" ref="Z31">-(IF(Z$2=1,Assumptions!$X32/12,-(SUMIF($D$2:$EE$2,Z$2-1,$D31:$EE31)/12)*(1+XLOOKUP(Z$2,Assumptions!$C$94:$M$94,Assumptions!$C$98:$M$98))))</f>
        <v>-2273.425596</v>
      </c>
      <c r="AA31" s="54">
        <f t="array" ref="AA31">-(IF(AA$2=1,Assumptions!$X32/12,-(SUMIF($D$2:$EE$2,AA$2-1,$D31:$EE31)/12)*(1+XLOOKUP(AA$2,Assumptions!$C$94:$M$94,Assumptions!$C$98:$M$98))))</f>
        <v>-2273.425596</v>
      </c>
      <c r="AB31" s="54">
        <f t="array" ref="AB31">-(IF(AB$2=1,Assumptions!$X32/12,-(SUMIF($D$2:$EE$2,AB$2-1,$D31:$EE31)/12)*(1+XLOOKUP(AB$2,Assumptions!$C$94:$M$94,Assumptions!$C$98:$M$98))))</f>
        <v>-2341.628364</v>
      </c>
      <c r="AC31" s="54">
        <f t="array" ref="AC31">-(IF(AC$2=1,Assumptions!$X32/12,-(SUMIF($D$2:$EE$2,AC$2-1,$D31:$EE31)/12)*(1+XLOOKUP(AC$2,Assumptions!$C$94:$M$94,Assumptions!$C$98:$M$98))))</f>
        <v>-2341.628364</v>
      </c>
      <c r="AD31" s="54">
        <f t="array" ref="AD31">-(IF(AD$2=1,Assumptions!$X32/12,-(SUMIF($D$2:$EE$2,AD$2-1,$D31:$EE31)/12)*(1+XLOOKUP(AD$2,Assumptions!$C$94:$M$94,Assumptions!$C$98:$M$98))))</f>
        <v>-2341.628364</v>
      </c>
      <c r="AE31" s="54">
        <f t="array" ref="AE31">-(IF(AE$2=1,Assumptions!$X32/12,-(SUMIF($D$2:$EE$2,AE$2-1,$D31:$EE31)/12)*(1+XLOOKUP(AE$2,Assumptions!$C$94:$M$94,Assumptions!$C$98:$M$98))))</f>
        <v>-2341.628364</v>
      </c>
      <c r="AF31" s="54">
        <f t="array" ref="AF31">-(IF(AF$2=1,Assumptions!$X32/12,-(SUMIF($D$2:$EE$2,AF$2-1,$D31:$EE31)/12)*(1+XLOOKUP(AF$2,Assumptions!$C$94:$M$94,Assumptions!$C$98:$M$98))))</f>
        <v>-2341.628364</v>
      </c>
      <c r="AG31" s="54">
        <f t="array" ref="AG31">-(IF(AG$2=1,Assumptions!$X32/12,-(SUMIF($D$2:$EE$2,AG$2-1,$D31:$EE31)/12)*(1+XLOOKUP(AG$2,Assumptions!$C$94:$M$94,Assumptions!$C$98:$M$98))))</f>
        <v>-2341.628364</v>
      </c>
      <c r="AH31" s="54">
        <f t="array" ref="AH31">-(IF(AH$2=1,Assumptions!$X32/12,-(SUMIF($D$2:$EE$2,AH$2-1,$D31:$EE31)/12)*(1+XLOOKUP(AH$2,Assumptions!$C$94:$M$94,Assumptions!$C$98:$M$98))))</f>
        <v>-2341.628364</v>
      </c>
      <c r="AI31" s="54">
        <f t="array" ref="AI31">-(IF(AI$2=1,Assumptions!$X32/12,-(SUMIF($D$2:$EE$2,AI$2-1,$D31:$EE31)/12)*(1+XLOOKUP(AI$2,Assumptions!$C$94:$M$94,Assumptions!$C$98:$M$98))))</f>
        <v>-2341.628364</v>
      </c>
      <c r="AJ31" s="54">
        <f t="array" ref="AJ31">-(IF(AJ$2=1,Assumptions!$X32/12,-(SUMIF($D$2:$EE$2,AJ$2-1,$D31:$EE31)/12)*(1+XLOOKUP(AJ$2,Assumptions!$C$94:$M$94,Assumptions!$C$98:$M$98))))</f>
        <v>-2341.628364</v>
      </c>
      <c r="AK31" s="54">
        <f t="array" ref="AK31">-(IF(AK$2=1,Assumptions!$X32/12,-(SUMIF($D$2:$EE$2,AK$2-1,$D31:$EE31)/12)*(1+XLOOKUP(AK$2,Assumptions!$C$94:$M$94,Assumptions!$C$98:$M$98))))</f>
        <v>-2341.628364</v>
      </c>
      <c r="AL31" s="54">
        <f t="array" ref="AL31">-(IF(AL$2=1,Assumptions!$X32/12,-(SUMIF($D$2:$EE$2,AL$2-1,$D31:$EE31)/12)*(1+XLOOKUP(AL$2,Assumptions!$C$94:$M$94,Assumptions!$C$98:$M$98))))</f>
        <v>-2341.628364</v>
      </c>
      <c r="AM31" s="54">
        <f t="array" ref="AM31">-(IF(AM$2=1,Assumptions!$X32/12,-(SUMIF($D$2:$EE$2,AM$2-1,$D31:$EE31)/12)*(1+XLOOKUP(AM$2,Assumptions!$C$94:$M$94,Assumptions!$C$98:$M$98))))</f>
        <v>-2341.628364</v>
      </c>
      <c r="AN31" s="54">
        <f t="array" ref="AN31">-(IF(AN$2=1,Assumptions!$X32/12,-(SUMIF($D$2:$EE$2,AN$2-1,$D31:$EE31)/12)*(1+XLOOKUP(AN$2,Assumptions!$C$94:$M$94,Assumptions!$C$98:$M$98))))</f>
        <v>-2411.877215</v>
      </c>
      <c r="AO31" s="54">
        <f t="array" ref="AO31">-(IF(AO$2=1,Assumptions!$X32/12,-(SUMIF($D$2:$EE$2,AO$2-1,$D31:$EE31)/12)*(1+XLOOKUP(AO$2,Assumptions!$C$94:$M$94,Assumptions!$C$98:$M$98))))</f>
        <v>-2411.877215</v>
      </c>
      <c r="AP31" s="54">
        <f t="array" ref="AP31">-(IF(AP$2=1,Assumptions!$X32/12,-(SUMIF($D$2:$EE$2,AP$2-1,$D31:$EE31)/12)*(1+XLOOKUP(AP$2,Assumptions!$C$94:$M$94,Assumptions!$C$98:$M$98))))</f>
        <v>-2411.877215</v>
      </c>
      <c r="AQ31" s="54">
        <f t="array" ref="AQ31">-(IF(AQ$2=1,Assumptions!$X32/12,-(SUMIF($D$2:$EE$2,AQ$2-1,$D31:$EE31)/12)*(1+XLOOKUP(AQ$2,Assumptions!$C$94:$M$94,Assumptions!$C$98:$M$98))))</f>
        <v>-2411.877215</v>
      </c>
      <c r="AR31" s="54">
        <f t="array" ref="AR31">-(IF(AR$2=1,Assumptions!$X32/12,-(SUMIF($D$2:$EE$2,AR$2-1,$D31:$EE31)/12)*(1+XLOOKUP(AR$2,Assumptions!$C$94:$M$94,Assumptions!$C$98:$M$98))))</f>
        <v>-2411.877215</v>
      </c>
      <c r="AS31" s="54">
        <f t="array" ref="AS31">-(IF(AS$2=1,Assumptions!$X32/12,-(SUMIF($D$2:$EE$2,AS$2-1,$D31:$EE31)/12)*(1+XLOOKUP(AS$2,Assumptions!$C$94:$M$94,Assumptions!$C$98:$M$98))))</f>
        <v>-2411.877215</v>
      </c>
      <c r="AT31" s="54">
        <f t="array" ref="AT31">-(IF(AT$2=1,Assumptions!$X32/12,-(SUMIF($D$2:$EE$2,AT$2-1,$D31:$EE31)/12)*(1+XLOOKUP(AT$2,Assumptions!$C$94:$M$94,Assumptions!$C$98:$M$98))))</f>
        <v>-2411.877215</v>
      </c>
      <c r="AU31" s="54">
        <f t="array" ref="AU31">-(IF(AU$2=1,Assumptions!$X32/12,-(SUMIF($D$2:$EE$2,AU$2-1,$D31:$EE31)/12)*(1+XLOOKUP(AU$2,Assumptions!$C$94:$M$94,Assumptions!$C$98:$M$98))))</f>
        <v>-2411.877215</v>
      </c>
      <c r="AV31" s="54">
        <f t="array" ref="AV31">-(IF(AV$2=1,Assumptions!$X32/12,-(SUMIF($D$2:$EE$2,AV$2-1,$D31:$EE31)/12)*(1+XLOOKUP(AV$2,Assumptions!$C$94:$M$94,Assumptions!$C$98:$M$98))))</f>
        <v>-2411.877215</v>
      </c>
      <c r="AW31" s="54">
        <f t="array" ref="AW31">-(IF(AW$2=1,Assumptions!$X32/12,-(SUMIF($D$2:$EE$2,AW$2-1,$D31:$EE31)/12)*(1+XLOOKUP(AW$2,Assumptions!$C$94:$M$94,Assumptions!$C$98:$M$98))))</f>
        <v>-2411.877215</v>
      </c>
      <c r="AX31" s="54">
        <f t="array" ref="AX31">-(IF(AX$2=1,Assumptions!$X32/12,-(SUMIF($D$2:$EE$2,AX$2-1,$D31:$EE31)/12)*(1+XLOOKUP(AX$2,Assumptions!$C$94:$M$94,Assumptions!$C$98:$M$98))))</f>
        <v>-2411.877215</v>
      </c>
      <c r="AY31" s="54">
        <f t="array" ref="AY31">-(IF(AY$2=1,Assumptions!$X32/12,-(SUMIF($D$2:$EE$2,AY$2-1,$D31:$EE31)/12)*(1+XLOOKUP(AY$2,Assumptions!$C$94:$M$94,Assumptions!$C$98:$M$98))))</f>
        <v>-2411.877215</v>
      </c>
      <c r="AZ31" s="54">
        <f t="array" ref="AZ31">-(IF(AZ$2=1,Assumptions!$X32/12,-(SUMIF($D$2:$EE$2,AZ$2-1,$D31:$EE31)/12)*(1+XLOOKUP(AZ$2,Assumptions!$C$94:$M$94,Assumptions!$C$98:$M$98))))</f>
        <v>-2484.233531</v>
      </c>
      <c r="BA31" s="54">
        <f t="array" ref="BA31">-(IF(BA$2=1,Assumptions!$X32/12,-(SUMIF($D$2:$EE$2,BA$2-1,$D31:$EE31)/12)*(1+XLOOKUP(BA$2,Assumptions!$C$94:$M$94,Assumptions!$C$98:$M$98))))</f>
        <v>-2484.233531</v>
      </c>
      <c r="BB31" s="54">
        <f t="array" ref="BB31">-(IF(BB$2=1,Assumptions!$X32/12,-(SUMIF($D$2:$EE$2,BB$2-1,$D31:$EE31)/12)*(1+XLOOKUP(BB$2,Assumptions!$C$94:$M$94,Assumptions!$C$98:$M$98))))</f>
        <v>-2484.233531</v>
      </c>
      <c r="BC31" s="54">
        <f t="array" ref="BC31">-(IF(BC$2=1,Assumptions!$X32/12,-(SUMIF($D$2:$EE$2,BC$2-1,$D31:$EE31)/12)*(1+XLOOKUP(BC$2,Assumptions!$C$94:$M$94,Assumptions!$C$98:$M$98))))</f>
        <v>-2484.233531</v>
      </c>
      <c r="BD31" s="54">
        <f t="array" ref="BD31">-(IF(BD$2=1,Assumptions!$X32/12,-(SUMIF($D$2:$EE$2,BD$2-1,$D31:$EE31)/12)*(1+XLOOKUP(BD$2,Assumptions!$C$94:$M$94,Assumptions!$C$98:$M$98))))</f>
        <v>-2484.233531</v>
      </c>
      <c r="BE31" s="54">
        <f t="array" ref="BE31">-(IF(BE$2=1,Assumptions!$X32/12,-(SUMIF($D$2:$EE$2,BE$2-1,$D31:$EE31)/12)*(1+XLOOKUP(BE$2,Assumptions!$C$94:$M$94,Assumptions!$C$98:$M$98))))</f>
        <v>-2484.233531</v>
      </c>
      <c r="BF31" s="54">
        <f t="array" ref="BF31">-(IF(BF$2=1,Assumptions!$X32/12,-(SUMIF($D$2:$EE$2,BF$2-1,$D31:$EE31)/12)*(1+XLOOKUP(BF$2,Assumptions!$C$94:$M$94,Assumptions!$C$98:$M$98))))</f>
        <v>-2484.233531</v>
      </c>
      <c r="BG31" s="54">
        <f t="array" ref="BG31">-(IF(BG$2=1,Assumptions!$X32/12,-(SUMIF($D$2:$EE$2,BG$2-1,$D31:$EE31)/12)*(1+XLOOKUP(BG$2,Assumptions!$C$94:$M$94,Assumptions!$C$98:$M$98))))</f>
        <v>-2484.233531</v>
      </c>
      <c r="BH31" s="54">
        <f t="array" ref="BH31">-(IF(BH$2=1,Assumptions!$X32/12,-(SUMIF($D$2:$EE$2,BH$2-1,$D31:$EE31)/12)*(1+XLOOKUP(BH$2,Assumptions!$C$94:$M$94,Assumptions!$C$98:$M$98))))</f>
        <v>-2484.233531</v>
      </c>
      <c r="BI31" s="54">
        <f t="array" ref="BI31">-(IF(BI$2=1,Assumptions!$X32/12,-(SUMIF($D$2:$EE$2,BI$2-1,$D31:$EE31)/12)*(1+XLOOKUP(BI$2,Assumptions!$C$94:$M$94,Assumptions!$C$98:$M$98))))</f>
        <v>-2484.233531</v>
      </c>
      <c r="BJ31" s="54">
        <f t="array" ref="BJ31">-(IF(BJ$2=1,Assumptions!$X32/12,-(SUMIF($D$2:$EE$2,BJ$2-1,$D31:$EE31)/12)*(1+XLOOKUP(BJ$2,Assumptions!$C$94:$M$94,Assumptions!$C$98:$M$98))))</f>
        <v>-2484.233531</v>
      </c>
      <c r="BK31" s="54">
        <f t="array" ref="BK31">-(IF(BK$2=1,Assumptions!$X32/12,-(SUMIF($D$2:$EE$2,BK$2-1,$D31:$EE31)/12)*(1+XLOOKUP(BK$2,Assumptions!$C$94:$M$94,Assumptions!$C$98:$M$98))))</f>
        <v>-2484.233531</v>
      </c>
      <c r="BL31" s="54">
        <f t="array" ref="BL31">-(IF(BL$2=1,Assumptions!$X32/12,-(SUMIF($D$2:$EE$2,BL$2-1,$D31:$EE31)/12)*(1+XLOOKUP(BL$2,Assumptions!$C$94:$M$94,Assumptions!$C$98:$M$98))))</f>
        <v>-2558.760537</v>
      </c>
      <c r="BM31" s="54">
        <f t="array" ref="BM31">-(IF(BM$2=1,Assumptions!$X32/12,-(SUMIF($D$2:$EE$2,BM$2-1,$D31:$EE31)/12)*(1+XLOOKUP(BM$2,Assumptions!$C$94:$M$94,Assumptions!$C$98:$M$98))))</f>
        <v>-2558.760537</v>
      </c>
      <c r="BN31" s="54">
        <f t="array" ref="BN31">-(IF(BN$2=1,Assumptions!$X32/12,-(SUMIF($D$2:$EE$2,BN$2-1,$D31:$EE31)/12)*(1+XLOOKUP(BN$2,Assumptions!$C$94:$M$94,Assumptions!$C$98:$M$98))))</f>
        <v>-2558.760537</v>
      </c>
      <c r="BO31" s="54">
        <f t="array" ref="BO31">-(IF(BO$2=1,Assumptions!$X32/12,-(SUMIF($D$2:$EE$2,BO$2-1,$D31:$EE31)/12)*(1+XLOOKUP(BO$2,Assumptions!$C$94:$M$94,Assumptions!$C$98:$M$98))))</f>
        <v>-2558.760537</v>
      </c>
      <c r="BP31" s="54">
        <f t="array" ref="BP31">-(IF(BP$2=1,Assumptions!$X32/12,-(SUMIF($D$2:$EE$2,BP$2-1,$D31:$EE31)/12)*(1+XLOOKUP(BP$2,Assumptions!$C$94:$M$94,Assumptions!$C$98:$M$98))))</f>
        <v>-2558.760537</v>
      </c>
      <c r="BQ31" s="54">
        <f t="array" ref="BQ31">-(IF(BQ$2=1,Assumptions!$X32/12,-(SUMIF($D$2:$EE$2,BQ$2-1,$D31:$EE31)/12)*(1+XLOOKUP(BQ$2,Assumptions!$C$94:$M$94,Assumptions!$C$98:$M$98))))</f>
        <v>-2558.760537</v>
      </c>
      <c r="BR31" s="54">
        <f t="array" ref="BR31">-(IF(BR$2=1,Assumptions!$X32/12,-(SUMIF($D$2:$EE$2,BR$2-1,$D31:$EE31)/12)*(1+XLOOKUP(BR$2,Assumptions!$C$94:$M$94,Assumptions!$C$98:$M$98))))</f>
        <v>-2558.760537</v>
      </c>
      <c r="BS31" s="54">
        <f t="array" ref="BS31">-(IF(BS$2=1,Assumptions!$X32/12,-(SUMIF($D$2:$EE$2,BS$2-1,$D31:$EE31)/12)*(1+XLOOKUP(BS$2,Assumptions!$C$94:$M$94,Assumptions!$C$98:$M$98))))</f>
        <v>-2558.760537</v>
      </c>
      <c r="BT31" s="54">
        <f t="array" ref="BT31">-(IF(BT$2=1,Assumptions!$X32/12,-(SUMIF($D$2:$EE$2,BT$2-1,$D31:$EE31)/12)*(1+XLOOKUP(BT$2,Assumptions!$C$94:$M$94,Assumptions!$C$98:$M$98))))</f>
        <v>-2558.760537</v>
      </c>
      <c r="BU31" s="54">
        <f t="array" ref="BU31">-(IF(BU$2=1,Assumptions!$X32/12,-(SUMIF($D$2:$EE$2,BU$2-1,$D31:$EE31)/12)*(1+XLOOKUP(BU$2,Assumptions!$C$94:$M$94,Assumptions!$C$98:$M$98))))</f>
        <v>-2558.760537</v>
      </c>
      <c r="BV31" s="54">
        <f t="array" ref="BV31">-(IF(BV$2=1,Assumptions!$X32/12,-(SUMIF($D$2:$EE$2,BV$2-1,$D31:$EE31)/12)*(1+XLOOKUP(BV$2,Assumptions!$C$94:$M$94,Assumptions!$C$98:$M$98))))</f>
        <v>-2558.760537</v>
      </c>
      <c r="BW31" s="54">
        <f t="array" ref="BW31">-(IF(BW$2=1,Assumptions!$X32/12,-(SUMIF($D$2:$EE$2,BW$2-1,$D31:$EE31)/12)*(1+XLOOKUP(BW$2,Assumptions!$C$94:$M$94,Assumptions!$C$98:$M$98))))</f>
        <v>-2558.760537</v>
      </c>
      <c r="BX31" s="54">
        <f t="array" ref="BX31">-(IF(BX$2=1,Assumptions!$X32/12,-(SUMIF($D$2:$EE$2,BX$2-1,$D31:$EE31)/12)*(1+XLOOKUP(BX$2,Assumptions!$C$94:$M$94,Assumptions!$C$98:$M$98))))</f>
        <v>-2635.523353</v>
      </c>
      <c r="BY31" s="54">
        <f t="array" ref="BY31">-(IF(BY$2=1,Assumptions!$X32/12,-(SUMIF($D$2:$EE$2,BY$2-1,$D31:$EE31)/12)*(1+XLOOKUP(BY$2,Assumptions!$C$94:$M$94,Assumptions!$C$98:$M$98))))</f>
        <v>-2635.523353</v>
      </c>
      <c r="BZ31" s="54">
        <f t="array" ref="BZ31">-(IF(BZ$2=1,Assumptions!$X32/12,-(SUMIF($D$2:$EE$2,BZ$2-1,$D31:$EE31)/12)*(1+XLOOKUP(BZ$2,Assumptions!$C$94:$M$94,Assumptions!$C$98:$M$98))))</f>
        <v>-2635.523353</v>
      </c>
      <c r="CA31" s="54">
        <f t="array" ref="CA31">-(IF(CA$2=1,Assumptions!$X32/12,-(SUMIF($D$2:$EE$2,CA$2-1,$D31:$EE31)/12)*(1+XLOOKUP(CA$2,Assumptions!$C$94:$M$94,Assumptions!$C$98:$M$98))))</f>
        <v>-2635.523353</v>
      </c>
      <c r="CB31" s="54">
        <f t="array" ref="CB31">-(IF(CB$2=1,Assumptions!$X32/12,-(SUMIF($D$2:$EE$2,CB$2-1,$D31:$EE31)/12)*(1+XLOOKUP(CB$2,Assumptions!$C$94:$M$94,Assumptions!$C$98:$M$98))))</f>
        <v>-2635.523353</v>
      </c>
      <c r="CC31" s="54">
        <f t="array" ref="CC31">-(IF(CC$2=1,Assumptions!$X32/12,-(SUMIF($D$2:$EE$2,CC$2-1,$D31:$EE31)/12)*(1+XLOOKUP(CC$2,Assumptions!$C$94:$M$94,Assumptions!$C$98:$M$98))))</f>
        <v>-2635.523353</v>
      </c>
      <c r="CD31" s="54">
        <f t="array" ref="CD31">-(IF(CD$2=1,Assumptions!$X32/12,-(SUMIF($D$2:$EE$2,CD$2-1,$D31:$EE31)/12)*(1+XLOOKUP(CD$2,Assumptions!$C$94:$M$94,Assumptions!$C$98:$M$98))))</f>
        <v>-2635.523353</v>
      </c>
      <c r="CE31" s="54">
        <f t="array" ref="CE31">-(IF(CE$2=1,Assumptions!$X32/12,-(SUMIF($D$2:$EE$2,CE$2-1,$D31:$EE31)/12)*(1+XLOOKUP(CE$2,Assumptions!$C$94:$M$94,Assumptions!$C$98:$M$98))))</f>
        <v>-2635.523353</v>
      </c>
      <c r="CF31" s="54">
        <f t="array" ref="CF31">-(IF(CF$2=1,Assumptions!$X32/12,-(SUMIF($D$2:$EE$2,CF$2-1,$D31:$EE31)/12)*(1+XLOOKUP(CF$2,Assumptions!$C$94:$M$94,Assumptions!$C$98:$M$98))))</f>
        <v>-2635.523353</v>
      </c>
      <c r="CG31" s="54">
        <f t="array" ref="CG31">-(IF(CG$2=1,Assumptions!$X32/12,-(SUMIF($D$2:$EE$2,CG$2-1,$D31:$EE31)/12)*(1+XLOOKUP(CG$2,Assumptions!$C$94:$M$94,Assumptions!$C$98:$M$98))))</f>
        <v>-2635.523353</v>
      </c>
      <c r="CH31" s="54">
        <f t="array" ref="CH31">-(IF(CH$2=1,Assumptions!$X32/12,-(SUMIF($D$2:$EE$2,CH$2-1,$D31:$EE31)/12)*(1+XLOOKUP(CH$2,Assumptions!$C$94:$M$94,Assumptions!$C$98:$M$98))))</f>
        <v>-2635.523353</v>
      </c>
      <c r="CI31" s="54">
        <f t="array" ref="CI31">-(IF(CI$2=1,Assumptions!$X32/12,-(SUMIF($D$2:$EE$2,CI$2-1,$D31:$EE31)/12)*(1+XLOOKUP(CI$2,Assumptions!$C$94:$M$94,Assumptions!$C$98:$M$98))))</f>
        <v>-2635.523353</v>
      </c>
      <c r="CJ31" s="54">
        <f t="array" ref="CJ31">-(IF(CJ$2=1,Assumptions!$X32/12,-(SUMIF($D$2:$EE$2,CJ$2-1,$D31:$EE31)/12)*(1+XLOOKUP(CJ$2,Assumptions!$C$94:$M$94,Assumptions!$C$98:$M$98))))</f>
        <v>-2714.589054</v>
      </c>
      <c r="CK31" s="54">
        <f t="array" ref="CK31">-(IF(CK$2=1,Assumptions!$X32/12,-(SUMIF($D$2:$EE$2,CK$2-1,$D31:$EE31)/12)*(1+XLOOKUP(CK$2,Assumptions!$C$94:$M$94,Assumptions!$C$98:$M$98))))</f>
        <v>-2714.589054</v>
      </c>
      <c r="CL31" s="54">
        <f t="array" ref="CL31">-(IF(CL$2=1,Assumptions!$X32/12,-(SUMIF($D$2:$EE$2,CL$2-1,$D31:$EE31)/12)*(1+XLOOKUP(CL$2,Assumptions!$C$94:$M$94,Assumptions!$C$98:$M$98))))</f>
        <v>-2714.589054</v>
      </c>
      <c r="CM31" s="54">
        <f t="array" ref="CM31">-(IF(CM$2=1,Assumptions!$X32/12,-(SUMIF($D$2:$EE$2,CM$2-1,$D31:$EE31)/12)*(1+XLOOKUP(CM$2,Assumptions!$C$94:$M$94,Assumptions!$C$98:$M$98))))</f>
        <v>-2714.589054</v>
      </c>
      <c r="CN31" s="54">
        <f t="array" ref="CN31">-(IF(CN$2=1,Assumptions!$X32/12,-(SUMIF($D$2:$EE$2,CN$2-1,$D31:$EE31)/12)*(1+XLOOKUP(CN$2,Assumptions!$C$94:$M$94,Assumptions!$C$98:$M$98))))</f>
        <v>-2714.589054</v>
      </c>
      <c r="CO31" s="54">
        <f t="array" ref="CO31">-(IF(CO$2=1,Assumptions!$X32/12,-(SUMIF($D$2:$EE$2,CO$2-1,$D31:$EE31)/12)*(1+XLOOKUP(CO$2,Assumptions!$C$94:$M$94,Assumptions!$C$98:$M$98))))</f>
        <v>-2714.589054</v>
      </c>
      <c r="CP31" s="54">
        <f t="array" ref="CP31">-(IF(CP$2=1,Assumptions!$X32/12,-(SUMIF($D$2:$EE$2,CP$2-1,$D31:$EE31)/12)*(1+XLOOKUP(CP$2,Assumptions!$C$94:$M$94,Assumptions!$C$98:$M$98))))</f>
        <v>-2714.589054</v>
      </c>
      <c r="CQ31" s="54">
        <f t="array" ref="CQ31">-(IF(CQ$2=1,Assumptions!$X32/12,-(SUMIF($D$2:$EE$2,CQ$2-1,$D31:$EE31)/12)*(1+XLOOKUP(CQ$2,Assumptions!$C$94:$M$94,Assumptions!$C$98:$M$98))))</f>
        <v>-2714.589054</v>
      </c>
      <c r="CR31" s="54">
        <f t="array" ref="CR31">-(IF(CR$2=1,Assumptions!$X32/12,-(SUMIF($D$2:$EE$2,CR$2-1,$D31:$EE31)/12)*(1+XLOOKUP(CR$2,Assumptions!$C$94:$M$94,Assumptions!$C$98:$M$98))))</f>
        <v>-2714.589054</v>
      </c>
      <c r="CS31" s="54">
        <f t="array" ref="CS31">-(IF(CS$2=1,Assumptions!$X32/12,-(SUMIF($D$2:$EE$2,CS$2-1,$D31:$EE31)/12)*(1+XLOOKUP(CS$2,Assumptions!$C$94:$M$94,Assumptions!$C$98:$M$98))))</f>
        <v>-2714.589054</v>
      </c>
      <c r="CT31" s="54">
        <f t="array" ref="CT31">-(IF(CT$2=1,Assumptions!$X32/12,-(SUMIF($D$2:$EE$2,CT$2-1,$D31:$EE31)/12)*(1+XLOOKUP(CT$2,Assumptions!$C$94:$M$94,Assumptions!$C$98:$M$98))))</f>
        <v>-2714.589054</v>
      </c>
      <c r="CU31" s="54">
        <f t="array" ref="CU31">-(IF(CU$2=1,Assumptions!$X32/12,-(SUMIF($D$2:$EE$2,CU$2-1,$D31:$EE31)/12)*(1+XLOOKUP(CU$2,Assumptions!$C$94:$M$94,Assumptions!$C$98:$M$98))))</f>
        <v>-2714.589054</v>
      </c>
      <c r="CV31" s="54">
        <f t="array" ref="CV31">-(IF(CV$2=1,Assumptions!$X32/12,-(SUMIF($D$2:$EE$2,CV$2-1,$D31:$EE31)/12)*(1+XLOOKUP(CV$2,Assumptions!$C$94:$M$94,Assumptions!$C$98:$M$98))))</f>
        <v>-2796.026726</v>
      </c>
      <c r="CW31" s="54">
        <f t="array" ref="CW31">-(IF(CW$2=1,Assumptions!$X32/12,-(SUMIF($D$2:$EE$2,CW$2-1,$D31:$EE31)/12)*(1+XLOOKUP(CW$2,Assumptions!$C$94:$M$94,Assumptions!$C$98:$M$98))))</f>
        <v>-2796.026726</v>
      </c>
      <c r="CX31" s="54">
        <f t="array" ref="CX31">-(IF(CX$2=1,Assumptions!$X32/12,-(SUMIF($D$2:$EE$2,CX$2-1,$D31:$EE31)/12)*(1+XLOOKUP(CX$2,Assumptions!$C$94:$M$94,Assumptions!$C$98:$M$98))))</f>
        <v>-2796.026726</v>
      </c>
      <c r="CY31" s="54">
        <f t="array" ref="CY31">-(IF(CY$2=1,Assumptions!$X32/12,-(SUMIF($D$2:$EE$2,CY$2-1,$D31:$EE31)/12)*(1+XLOOKUP(CY$2,Assumptions!$C$94:$M$94,Assumptions!$C$98:$M$98))))</f>
        <v>-2796.026726</v>
      </c>
      <c r="CZ31" s="54">
        <f t="array" ref="CZ31">-(IF(CZ$2=1,Assumptions!$X32/12,-(SUMIF($D$2:$EE$2,CZ$2-1,$D31:$EE31)/12)*(1+XLOOKUP(CZ$2,Assumptions!$C$94:$M$94,Assumptions!$C$98:$M$98))))</f>
        <v>-2796.026726</v>
      </c>
      <c r="DA31" s="54">
        <f t="array" ref="DA31">-(IF(DA$2=1,Assumptions!$X32/12,-(SUMIF($D$2:$EE$2,DA$2-1,$D31:$EE31)/12)*(1+XLOOKUP(DA$2,Assumptions!$C$94:$M$94,Assumptions!$C$98:$M$98))))</f>
        <v>-2796.026726</v>
      </c>
      <c r="DB31" s="54">
        <f t="array" ref="DB31">-(IF(DB$2=1,Assumptions!$X32/12,-(SUMIF($D$2:$EE$2,DB$2-1,$D31:$EE31)/12)*(1+XLOOKUP(DB$2,Assumptions!$C$94:$M$94,Assumptions!$C$98:$M$98))))</f>
        <v>-2796.026726</v>
      </c>
      <c r="DC31" s="54">
        <f t="array" ref="DC31">-(IF(DC$2=1,Assumptions!$X32/12,-(SUMIF($D$2:$EE$2,DC$2-1,$D31:$EE31)/12)*(1+XLOOKUP(DC$2,Assumptions!$C$94:$M$94,Assumptions!$C$98:$M$98))))</f>
        <v>-2796.026726</v>
      </c>
      <c r="DD31" s="54">
        <f t="array" ref="DD31">-(IF(DD$2=1,Assumptions!$X32/12,-(SUMIF($D$2:$EE$2,DD$2-1,$D31:$EE31)/12)*(1+XLOOKUP(DD$2,Assumptions!$C$94:$M$94,Assumptions!$C$98:$M$98))))</f>
        <v>-2796.026726</v>
      </c>
      <c r="DE31" s="54">
        <f t="array" ref="DE31">-(IF(DE$2=1,Assumptions!$X32/12,-(SUMIF($D$2:$EE$2,DE$2-1,$D31:$EE31)/12)*(1+XLOOKUP(DE$2,Assumptions!$C$94:$M$94,Assumptions!$C$98:$M$98))))</f>
        <v>-2796.026726</v>
      </c>
      <c r="DF31" s="54">
        <f t="array" ref="DF31">-(IF(DF$2=1,Assumptions!$X32/12,-(SUMIF($D$2:$EE$2,DF$2-1,$D31:$EE31)/12)*(1+XLOOKUP(DF$2,Assumptions!$C$94:$M$94,Assumptions!$C$98:$M$98))))</f>
        <v>-2796.026726</v>
      </c>
      <c r="DG31" s="54">
        <f t="array" ref="DG31">-(IF(DG$2=1,Assumptions!$X32/12,-(SUMIF($D$2:$EE$2,DG$2-1,$D31:$EE31)/12)*(1+XLOOKUP(DG$2,Assumptions!$C$94:$M$94,Assumptions!$C$98:$M$98))))</f>
        <v>-2796.026726</v>
      </c>
      <c r="DH31" s="54">
        <f t="array" ref="DH31">-(IF(DH$2=1,Assumptions!$X32/12,-(SUMIF($D$2:$EE$2,DH$2-1,$D31:$EE31)/12)*(1+XLOOKUP(DH$2,Assumptions!$C$94:$M$94,Assumptions!$C$98:$M$98))))</f>
        <v>-2879.907527</v>
      </c>
      <c r="DI31" s="54">
        <f t="array" ref="DI31">-(IF(DI$2=1,Assumptions!$X32/12,-(SUMIF($D$2:$EE$2,DI$2-1,$D31:$EE31)/12)*(1+XLOOKUP(DI$2,Assumptions!$C$94:$M$94,Assumptions!$C$98:$M$98))))</f>
        <v>-2879.907527</v>
      </c>
      <c r="DJ31" s="54">
        <f t="array" ref="DJ31">-(IF(DJ$2=1,Assumptions!$X32/12,-(SUMIF($D$2:$EE$2,DJ$2-1,$D31:$EE31)/12)*(1+XLOOKUP(DJ$2,Assumptions!$C$94:$M$94,Assumptions!$C$98:$M$98))))</f>
        <v>-2879.907527</v>
      </c>
      <c r="DK31" s="54">
        <f t="array" ref="DK31">-(IF(DK$2=1,Assumptions!$X32/12,-(SUMIF($D$2:$EE$2,DK$2-1,$D31:$EE31)/12)*(1+XLOOKUP(DK$2,Assumptions!$C$94:$M$94,Assumptions!$C$98:$M$98))))</f>
        <v>-2879.907527</v>
      </c>
      <c r="DL31" s="54">
        <f t="array" ref="DL31">-(IF(DL$2=1,Assumptions!$X32/12,-(SUMIF($D$2:$EE$2,DL$2-1,$D31:$EE31)/12)*(1+XLOOKUP(DL$2,Assumptions!$C$94:$M$94,Assumptions!$C$98:$M$98))))</f>
        <v>-2879.907527</v>
      </c>
      <c r="DM31" s="54">
        <f t="array" ref="DM31">-(IF(DM$2=1,Assumptions!$X32/12,-(SUMIF($D$2:$EE$2,DM$2-1,$D31:$EE31)/12)*(1+XLOOKUP(DM$2,Assumptions!$C$94:$M$94,Assumptions!$C$98:$M$98))))</f>
        <v>-2879.907527</v>
      </c>
      <c r="DN31" s="54">
        <f t="array" ref="DN31">-(IF(DN$2=1,Assumptions!$X32/12,-(SUMIF($D$2:$EE$2,DN$2-1,$D31:$EE31)/12)*(1+XLOOKUP(DN$2,Assumptions!$C$94:$M$94,Assumptions!$C$98:$M$98))))</f>
        <v>-2879.907527</v>
      </c>
      <c r="DO31" s="54">
        <f t="array" ref="DO31">-(IF(DO$2=1,Assumptions!$X32/12,-(SUMIF($D$2:$EE$2,DO$2-1,$D31:$EE31)/12)*(1+XLOOKUP(DO$2,Assumptions!$C$94:$M$94,Assumptions!$C$98:$M$98))))</f>
        <v>-2879.907527</v>
      </c>
      <c r="DP31" s="54">
        <f t="array" ref="DP31">-(IF(DP$2=1,Assumptions!$X32/12,-(SUMIF($D$2:$EE$2,DP$2-1,$D31:$EE31)/12)*(1+XLOOKUP(DP$2,Assumptions!$C$94:$M$94,Assumptions!$C$98:$M$98))))</f>
        <v>-2879.907527</v>
      </c>
      <c r="DQ31" s="54">
        <f t="array" ref="DQ31">-(IF(DQ$2=1,Assumptions!$X32/12,-(SUMIF($D$2:$EE$2,DQ$2-1,$D31:$EE31)/12)*(1+XLOOKUP(DQ$2,Assumptions!$C$94:$M$94,Assumptions!$C$98:$M$98))))</f>
        <v>-2879.907527</v>
      </c>
      <c r="DR31" s="54">
        <f t="array" ref="DR31">-(IF(DR$2=1,Assumptions!$X32/12,-(SUMIF($D$2:$EE$2,DR$2-1,$D31:$EE31)/12)*(1+XLOOKUP(DR$2,Assumptions!$C$94:$M$94,Assumptions!$C$98:$M$98))))</f>
        <v>-2879.907527</v>
      </c>
      <c r="DS31" s="54">
        <f t="array" ref="DS31">-(IF(DS$2=1,Assumptions!$X32/12,-(SUMIF($D$2:$EE$2,DS$2-1,$D31:$EE31)/12)*(1+XLOOKUP(DS$2,Assumptions!$C$94:$M$94,Assumptions!$C$98:$M$98))))</f>
        <v>-2879.907527</v>
      </c>
      <c r="DT31" s="54">
        <f t="array" ref="DT31">-(IF(DT$2=1,Assumptions!$X32/12,-(SUMIF($D$2:$EE$2,DT$2-1,$D31:$EE31)/12)*(1+XLOOKUP(DT$2,Assumptions!$C$94:$M$94,Assumptions!$C$98:$M$98))))</f>
        <v>-2966.304753</v>
      </c>
      <c r="DU31" s="54">
        <f t="array" ref="DU31">-(IF(DU$2=1,Assumptions!$X32/12,-(SUMIF($D$2:$EE$2,DU$2-1,$D31:$EE31)/12)*(1+XLOOKUP(DU$2,Assumptions!$C$94:$M$94,Assumptions!$C$98:$M$98))))</f>
        <v>-2966.304753</v>
      </c>
      <c r="DV31" s="54">
        <f t="array" ref="DV31">-(IF(DV$2=1,Assumptions!$X32/12,-(SUMIF($D$2:$EE$2,DV$2-1,$D31:$EE31)/12)*(1+XLOOKUP(DV$2,Assumptions!$C$94:$M$94,Assumptions!$C$98:$M$98))))</f>
        <v>-2966.304753</v>
      </c>
      <c r="DW31" s="54">
        <f t="array" ref="DW31">-(IF(DW$2=1,Assumptions!$X32/12,-(SUMIF($D$2:$EE$2,DW$2-1,$D31:$EE31)/12)*(1+XLOOKUP(DW$2,Assumptions!$C$94:$M$94,Assumptions!$C$98:$M$98))))</f>
        <v>-2966.304753</v>
      </c>
      <c r="DX31" s="54">
        <f t="array" ref="DX31">-(IF(DX$2=1,Assumptions!$X32/12,-(SUMIF($D$2:$EE$2,DX$2-1,$D31:$EE31)/12)*(1+XLOOKUP(DX$2,Assumptions!$C$94:$M$94,Assumptions!$C$98:$M$98))))</f>
        <v>-2966.304753</v>
      </c>
      <c r="DY31" s="54">
        <f t="array" ref="DY31">-(IF(DY$2=1,Assumptions!$X32/12,-(SUMIF($D$2:$EE$2,DY$2-1,$D31:$EE31)/12)*(1+XLOOKUP(DY$2,Assumptions!$C$94:$M$94,Assumptions!$C$98:$M$98))))</f>
        <v>-2966.304753</v>
      </c>
      <c r="DZ31" s="54">
        <f t="array" ref="DZ31">-(IF(DZ$2=1,Assumptions!$X32/12,-(SUMIF($D$2:$EE$2,DZ$2-1,$D31:$EE31)/12)*(1+XLOOKUP(DZ$2,Assumptions!$C$94:$M$94,Assumptions!$C$98:$M$98))))</f>
        <v>-2966.304753</v>
      </c>
      <c r="EA31" s="54">
        <f t="array" ref="EA31">-(IF(EA$2=1,Assumptions!$X32/12,-(SUMIF($D$2:$EE$2,EA$2-1,$D31:$EE31)/12)*(1+XLOOKUP(EA$2,Assumptions!$C$94:$M$94,Assumptions!$C$98:$M$98))))</f>
        <v>-2966.304753</v>
      </c>
      <c r="EB31" s="54">
        <f t="array" ref="EB31">-(IF(EB$2=1,Assumptions!$X32/12,-(SUMIF($D$2:$EE$2,EB$2-1,$D31:$EE31)/12)*(1+XLOOKUP(EB$2,Assumptions!$C$94:$M$94,Assumptions!$C$98:$M$98))))</f>
        <v>-2966.304753</v>
      </c>
      <c r="EC31" s="54">
        <f t="array" ref="EC31">-(IF(EC$2=1,Assumptions!$X32/12,-(SUMIF($D$2:$EE$2,EC$2-1,$D31:$EE31)/12)*(1+XLOOKUP(EC$2,Assumptions!$C$94:$M$94,Assumptions!$C$98:$M$98))))</f>
        <v>-2966.304753</v>
      </c>
      <c r="ED31" s="54">
        <f t="array" ref="ED31">-(IF(ED$2=1,Assumptions!$X32/12,-(SUMIF($D$2:$EE$2,ED$2-1,$D31:$EE31)/12)*(1+XLOOKUP(ED$2,Assumptions!$C$94:$M$94,Assumptions!$C$98:$M$98))))</f>
        <v>-2966.304753</v>
      </c>
      <c r="EE31" s="54">
        <f t="array" ref="EE31">-(IF(EE$2=1,Assumptions!$X32/12,-(SUMIF($D$2:$EE$2,EE$2-1,$D31:$EE31)/12)*(1+XLOOKUP(EE$2,Assumptions!$C$94:$M$94,Assumptions!$C$98:$M$98))))</f>
        <v>-2966.304753</v>
      </c>
    </row>
    <row r="32" ht="15.75" customHeight="1">
      <c r="A32" s="1"/>
      <c r="B32" s="1"/>
      <c r="C32" s="1" t="str">
        <f>Assumptions!J33</f>
        <v>Turnaround Expense</v>
      </c>
      <c r="D32" s="54">
        <f t="array" ref="D32">-(IF(D$2=1,Assumptions!$X33/12,-(SUMIF($D$2:$EE$2,D$2-1,$D32:$EE32)/12)*(1+XLOOKUP(D$2,Assumptions!$C$94:$M$94,Assumptions!$C$98:$M$98))))</f>
        <v>-2214.5</v>
      </c>
      <c r="E32" s="54">
        <f t="array" ref="E32">-(IF(E$2=1,Assumptions!$X33/12,-(SUMIF($D$2:$EE$2,E$2-1,$D32:$EE32)/12)*(1+XLOOKUP(E$2,Assumptions!$C$94:$M$94,Assumptions!$C$98:$M$98))))</f>
        <v>-2214.5</v>
      </c>
      <c r="F32" s="54">
        <f t="array" ref="F32">-(IF(F$2=1,Assumptions!$X33/12,-(SUMIF($D$2:$EE$2,F$2-1,$D32:$EE32)/12)*(1+XLOOKUP(F$2,Assumptions!$C$94:$M$94,Assumptions!$C$98:$M$98))))</f>
        <v>-2214.5</v>
      </c>
      <c r="G32" s="54">
        <f t="array" ref="G32">-(IF(G$2=1,Assumptions!$X33/12,-(SUMIF($D$2:$EE$2,G$2-1,$D32:$EE32)/12)*(1+XLOOKUP(G$2,Assumptions!$C$94:$M$94,Assumptions!$C$98:$M$98))))</f>
        <v>-2214.5</v>
      </c>
      <c r="H32" s="54">
        <f t="array" ref="H32">-(IF(H$2=1,Assumptions!$X33/12,-(SUMIF($D$2:$EE$2,H$2-1,$D32:$EE32)/12)*(1+XLOOKUP(H$2,Assumptions!$C$94:$M$94,Assumptions!$C$98:$M$98))))</f>
        <v>-2214.5</v>
      </c>
      <c r="I32" s="54">
        <f t="array" ref="I32">-(IF(I$2=1,Assumptions!$X33/12,-(SUMIF($D$2:$EE$2,I$2-1,$D32:$EE32)/12)*(1+XLOOKUP(I$2,Assumptions!$C$94:$M$94,Assumptions!$C$98:$M$98))))</f>
        <v>-2214.5</v>
      </c>
      <c r="J32" s="54">
        <f t="array" ref="J32">-(IF(J$2=1,Assumptions!$X33/12,-(SUMIF($D$2:$EE$2,J$2-1,$D32:$EE32)/12)*(1+XLOOKUP(J$2,Assumptions!$C$94:$M$94,Assumptions!$C$98:$M$98))))</f>
        <v>-2214.5</v>
      </c>
      <c r="K32" s="54">
        <f t="array" ref="K32">-(IF(K$2=1,Assumptions!$X33/12,-(SUMIF($D$2:$EE$2,K$2-1,$D32:$EE32)/12)*(1+XLOOKUP(K$2,Assumptions!$C$94:$M$94,Assumptions!$C$98:$M$98))))</f>
        <v>-2214.5</v>
      </c>
      <c r="L32" s="54">
        <f t="array" ref="L32">-(IF(L$2=1,Assumptions!$X33/12,-(SUMIF($D$2:$EE$2,L$2-1,$D32:$EE32)/12)*(1+XLOOKUP(L$2,Assumptions!$C$94:$M$94,Assumptions!$C$98:$M$98))))</f>
        <v>-2214.5</v>
      </c>
      <c r="M32" s="54">
        <f t="array" ref="M32">-(IF(M$2=1,Assumptions!$X33/12,-(SUMIF($D$2:$EE$2,M$2-1,$D32:$EE32)/12)*(1+XLOOKUP(M$2,Assumptions!$C$94:$M$94,Assumptions!$C$98:$M$98))))</f>
        <v>-2214.5</v>
      </c>
      <c r="N32" s="54">
        <f t="array" ref="N32">-(IF(N$2=1,Assumptions!$X33/12,-(SUMIF($D$2:$EE$2,N$2-1,$D32:$EE32)/12)*(1+XLOOKUP(N$2,Assumptions!$C$94:$M$94,Assumptions!$C$98:$M$98))))</f>
        <v>-2214.5</v>
      </c>
      <c r="O32" s="54">
        <f t="array" ref="O32">-(IF(O$2=1,Assumptions!$X33/12,-(SUMIF($D$2:$EE$2,O$2-1,$D32:$EE32)/12)*(1+XLOOKUP(O$2,Assumptions!$C$94:$M$94,Assumptions!$C$98:$M$98))))</f>
        <v>-2214.5</v>
      </c>
      <c r="P32" s="54">
        <f t="array" ref="P32">-(IF(P$2=1,Assumptions!$X33/12,-(SUMIF($D$2:$EE$2,P$2-1,$D32:$EE32)/12)*(1+XLOOKUP(P$2,Assumptions!$C$94:$M$94,Assumptions!$C$98:$M$98))))</f>
        <v>-2280.935</v>
      </c>
      <c r="Q32" s="54">
        <f t="array" ref="Q32">-(IF(Q$2=1,Assumptions!$X33/12,-(SUMIF($D$2:$EE$2,Q$2-1,$D32:$EE32)/12)*(1+XLOOKUP(Q$2,Assumptions!$C$94:$M$94,Assumptions!$C$98:$M$98))))</f>
        <v>-2280.935</v>
      </c>
      <c r="R32" s="54">
        <f t="array" ref="R32">-(IF(R$2=1,Assumptions!$X33/12,-(SUMIF($D$2:$EE$2,R$2-1,$D32:$EE32)/12)*(1+XLOOKUP(R$2,Assumptions!$C$94:$M$94,Assumptions!$C$98:$M$98))))</f>
        <v>-2280.935</v>
      </c>
      <c r="S32" s="54">
        <f t="array" ref="S32">-(IF(S$2=1,Assumptions!$X33/12,-(SUMIF($D$2:$EE$2,S$2-1,$D32:$EE32)/12)*(1+XLOOKUP(S$2,Assumptions!$C$94:$M$94,Assumptions!$C$98:$M$98))))</f>
        <v>-2280.935</v>
      </c>
      <c r="T32" s="54">
        <f t="array" ref="T32">-(IF(T$2=1,Assumptions!$X33/12,-(SUMIF($D$2:$EE$2,T$2-1,$D32:$EE32)/12)*(1+XLOOKUP(T$2,Assumptions!$C$94:$M$94,Assumptions!$C$98:$M$98))))</f>
        <v>-2280.935</v>
      </c>
      <c r="U32" s="54">
        <f t="array" ref="U32">-(IF(U$2=1,Assumptions!$X33/12,-(SUMIF($D$2:$EE$2,U$2-1,$D32:$EE32)/12)*(1+XLOOKUP(U$2,Assumptions!$C$94:$M$94,Assumptions!$C$98:$M$98))))</f>
        <v>-2280.935</v>
      </c>
      <c r="V32" s="54">
        <f t="array" ref="V32">-(IF(V$2=1,Assumptions!$X33/12,-(SUMIF($D$2:$EE$2,V$2-1,$D32:$EE32)/12)*(1+XLOOKUP(V$2,Assumptions!$C$94:$M$94,Assumptions!$C$98:$M$98))))</f>
        <v>-2280.935</v>
      </c>
      <c r="W32" s="54">
        <f t="array" ref="W32">-(IF(W$2=1,Assumptions!$X33/12,-(SUMIF($D$2:$EE$2,W$2-1,$D32:$EE32)/12)*(1+XLOOKUP(W$2,Assumptions!$C$94:$M$94,Assumptions!$C$98:$M$98))))</f>
        <v>-2280.935</v>
      </c>
      <c r="X32" s="54">
        <f t="array" ref="X32">-(IF(X$2=1,Assumptions!$X33/12,-(SUMIF($D$2:$EE$2,X$2-1,$D32:$EE32)/12)*(1+XLOOKUP(X$2,Assumptions!$C$94:$M$94,Assumptions!$C$98:$M$98))))</f>
        <v>-2280.935</v>
      </c>
      <c r="Y32" s="54">
        <f t="array" ref="Y32">-(IF(Y$2=1,Assumptions!$X33/12,-(SUMIF($D$2:$EE$2,Y$2-1,$D32:$EE32)/12)*(1+XLOOKUP(Y$2,Assumptions!$C$94:$M$94,Assumptions!$C$98:$M$98))))</f>
        <v>-2280.935</v>
      </c>
      <c r="Z32" s="54">
        <f t="array" ref="Z32">-(IF(Z$2=1,Assumptions!$X33/12,-(SUMIF($D$2:$EE$2,Z$2-1,$D32:$EE32)/12)*(1+XLOOKUP(Z$2,Assumptions!$C$94:$M$94,Assumptions!$C$98:$M$98))))</f>
        <v>-2280.935</v>
      </c>
      <c r="AA32" s="54">
        <f t="array" ref="AA32">-(IF(AA$2=1,Assumptions!$X33/12,-(SUMIF($D$2:$EE$2,AA$2-1,$D32:$EE32)/12)*(1+XLOOKUP(AA$2,Assumptions!$C$94:$M$94,Assumptions!$C$98:$M$98))))</f>
        <v>-2280.935</v>
      </c>
      <c r="AB32" s="54">
        <f t="array" ref="AB32">-(IF(AB$2=1,Assumptions!$X33/12,-(SUMIF($D$2:$EE$2,AB$2-1,$D32:$EE32)/12)*(1+XLOOKUP(AB$2,Assumptions!$C$94:$M$94,Assumptions!$C$98:$M$98))))</f>
        <v>-2349.36305</v>
      </c>
      <c r="AC32" s="54">
        <f t="array" ref="AC32">-(IF(AC$2=1,Assumptions!$X33/12,-(SUMIF($D$2:$EE$2,AC$2-1,$D32:$EE32)/12)*(1+XLOOKUP(AC$2,Assumptions!$C$94:$M$94,Assumptions!$C$98:$M$98))))</f>
        <v>-2349.36305</v>
      </c>
      <c r="AD32" s="54">
        <f t="array" ref="AD32">-(IF(AD$2=1,Assumptions!$X33/12,-(SUMIF($D$2:$EE$2,AD$2-1,$D32:$EE32)/12)*(1+XLOOKUP(AD$2,Assumptions!$C$94:$M$94,Assumptions!$C$98:$M$98))))</f>
        <v>-2349.36305</v>
      </c>
      <c r="AE32" s="54">
        <f t="array" ref="AE32">-(IF(AE$2=1,Assumptions!$X33/12,-(SUMIF($D$2:$EE$2,AE$2-1,$D32:$EE32)/12)*(1+XLOOKUP(AE$2,Assumptions!$C$94:$M$94,Assumptions!$C$98:$M$98))))</f>
        <v>-2349.36305</v>
      </c>
      <c r="AF32" s="54">
        <f t="array" ref="AF32">-(IF(AF$2=1,Assumptions!$X33/12,-(SUMIF($D$2:$EE$2,AF$2-1,$D32:$EE32)/12)*(1+XLOOKUP(AF$2,Assumptions!$C$94:$M$94,Assumptions!$C$98:$M$98))))</f>
        <v>-2349.36305</v>
      </c>
      <c r="AG32" s="54">
        <f t="array" ref="AG32">-(IF(AG$2=1,Assumptions!$X33/12,-(SUMIF($D$2:$EE$2,AG$2-1,$D32:$EE32)/12)*(1+XLOOKUP(AG$2,Assumptions!$C$94:$M$94,Assumptions!$C$98:$M$98))))</f>
        <v>-2349.36305</v>
      </c>
      <c r="AH32" s="54">
        <f t="array" ref="AH32">-(IF(AH$2=1,Assumptions!$X33/12,-(SUMIF($D$2:$EE$2,AH$2-1,$D32:$EE32)/12)*(1+XLOOKUP(AH$2,Assumptions!$C$94:$M$94,Assumptions!$C$98:$M$98))))</f>
        <v>-2349.36305</v>
      </c>
      <c r="AI32" s="54">
        <f t="array" ref="AI32">-(IF(AI$2=1,Assumptions!$X33/12,-(SUMIF($D$2:$EE$2,AI$2-1,$D32:$EE32)/12)*(1+XLOOKUP(AI$2,Assumptions!$C$94:$M$94,Assumptions!$C$98:$M$98))))</f>
        <v>-2349.36305</v>
      </c>
      <c r="AJ32" s="54">
        <f t="array" ref="AJ32">-(IF(AJ$2=1,Assumptions!$X33/12,-(SUMIF($D$2:$EE$2,AJ$2-1,$D32:$EE32)/12)*(1+XLOOKUP(AJ$2,Assumptions!$C$94:$M$94,Assumptions!$C$98:$M$98))))</f>
        <v>-2349.36305</v>
      </c>
      <c r="AK32" s="54">
        <f t="array" ref="AK32">-(IF(AK$2=1,Assumptions!$X33/12,-(SUMIF($D$2:$EE$2,AK$2-1,$D32:$EE32)/12)*(1+XLOOKUP(AK$2,Assumptions!$C$94:$M$94,Assumptions!$C$98:$M$98))))</f>
        <v>-2349.36305</v>
      </c>
      <c r="AL32" s="54">
        <f t="array" ref="AL32">-(IF(AL$2=1,Assumptions!$X33/12,-(SUMIF($D$2:$EE$2,AL$2-1,$D32:$EE32)/12)*(1+XLOOKUP(AL$2,Assumptions!$C$94:$M$94,Assumptions!$C$98:$M$98))))</f>
        <v>-2349.36305</v>
      </c>
      <c r="AM32" s="54">
        <f t="array" ref="AM32">-(IF(AM$2=1,Assumptions!$X33/12,-(SUMIF($D$2:$EE$2,AM$2-1,$D32:$EE32)/12)*(1+XLOOKUP(AM$2,Assumptions!$C$94:$M$94,Assumptions!$C$98:$M$98))))</f>
        <v>-2349.36305</v>
      </c>
      <c r="AN32" s="54">
        <f t="array" ref="AN32">-(IF(AN$2=1,Assumptions!$X33/12,-(SUMIF($D$2:$EE$2,AN$2-1,$D32:$EE32)/12)*(1+XLOOKUP(AN$2,Assumptions!$C$94:$M$94,Assumptions!$C$98:$M$98))))</f>
        <v>-2419.843942</v>
      </c>
      <c r="AO32" s="54">
        <f t="array" ref="AO32">-(IF(AO$2=1,Assumptions!$X33/12,-(SUMIF($D$2:$EE$2,AO$2-1,$D32:$EE32)/12)*(1+XLOOKUP(AO$2,Assumptions!$C$94:$M$94,Assumptions!$C$98:$M$98))))</f>
        <v>-2419.843942</v>
      </c>
      <c r="AP32" s="54">
        <f t="array" ref="AP32">-(IF(AP$2=1,Assumptions!$X33/12,-(SUMIF($D$2:$EE$2,AP$2-1,$D32:$EE32)/12)*(1+XLOOKUP(AP$2,Assumptions!$C$94:$M$94,Assumptions!$C$98:$M$98))))</f>
        <v>-2419.843942</v>
      </c>
      <c r="AQ32" s="54">
        <f t="array" ref="AQ32">-(IF(AQ$2=1,Assumptions!$X33/12,-(SUMIF($D$2:$EE$2,AQ$2-1,$D32:$EE32)/12)*(1+XLOOKUP(AQ$2,Assumptions!$C$94:$M$94,Assumptions!$C$98:$M$98))))</f>
        <v>-2419.843942</v>
      </c>
      <c r="AR32" s="54">
        <f t="array" ref="AR32">-(IF(AR$2=1,Assumptions!$X33/12,-(SUMIF($D$2:$EE$2,AR$2-1,$D32:$EE32)/12)*(1+XLOOKUP(AR$2,Assumptions!$C$94:$M$94,Assumptions!$C$98:$M$98))))</f>
        <v>-2419.843942</v>
      </c>
      <c r="AS32" s="54">
        <f t="array" ref="AS32">-(IF(AS$2=1,Assumptions!$X33/12,-(SUMIF($D$2:$EE$2,AS$2-1,$D32:$EE32)/12)*(1+XLOOKUP(AS$2,Assumptions!$C$94:$M$94,Assumptions!$C$98:$M$98))))</f>
        <v>-2419.843942</v>
      </c>
      <c r="AT32" s="54">
        <f t="array" ref="AT32">-(IF(AT$2=1,Assumptions!$X33/12,-(SUMIF($D$2:$EE$2,AT$2-1,$D32:$EE32)/12)*(1+XLOOKUP(AT$2,Assumptions!$C$94:$M$94,Assumptions!$C$98:$M$98))))</f>
        <v>-2419.843942</v>
      </c>
      <c r="AU32" s="54">
        <f t="array" ref="AU32">-(IF(AU$2=1,Assumptions!$X33/12,-(SUMIF($D$2:$EE$2,AU$2-1,$D32:$EE32)/12)*(1+XLOOKUP(AU$2,Assumptions!$C$94:$M$94,Assumptions!$C$98:$M$98))))</f>
        <v>-2419.843942</v>
      </c>
      <c r="AV32" s="54">
        <f t="array" ref="AV32">-(IF(AV$2=1,Assumptions!$X33/12,-(SUMIF($D$2:$EE$2,AV$2-1,$D32:$EE32)/12)*(1+XLOOKUP(AV$2,Assumptions!$C$94:$M$94,Assumptions!$C$98:$M$98))))</f>
        <v>-2419.843942</v>
      </c>
      <c r="AW32" s="54">
        <f t="array" ref="AW32">-(IF(AW$2=1,Assumptions!$X33/12,-(SUMIF($D$2:$EE$2,AW$2-1,$D32:$EE32)/12)*(1+XLOOKUP(AW$2,Assumptions!$C$94:$M$94,Assumptions!$C$98:$M$98))))</f>
        <v>-2419.843942</v>
      </c>
      <c r="AX32" s="54">
        <f t="array" ref="AX32">-(IF(AX$2=1,Assumptions!$X33/12,-(SUMIF($D$2:$EE$2,AX$2-1,$D32:$EE32)/12)*(1+XLOOKUP(AX$2,Assumptions!$C$94:$M$94,Assumptions!$C$98:$M$98))))</f>
        <v>-2419.843942</v>
      </c>
      <c r="AY32" s="54">
        <f t="array" ref="AY32">-(IF(AY$2=1,Assumptions!$X33/12,-(SUMIF($D$2:$EE$2,AY$2-1,$D32:$EE32)/12)*(1+XLOOKUP(AY$2,Assumptions!$C$94:$M$94,Assumptions!$C$98:$M$98))))</f>
        <v>-2419.843942</v>
      </c>
      <c r="AZ32" s="54">
        <f t="array" ref="AZ32">-(IF(AZ$2=1,Assumptions!$X33/12,-(SUMIF($D$2:$EE$2,AZ$2-1,$D32:$EE32)/12)*(1+XLOOKUP(AZ$2,Assumptions!$C$94:$M$94,Assumptions!$C$98:$M$98))))</f>
        <v>-2492.43926</v>
      </c>
      <c r="BA32" s="54">
        <f t="array" ref="BA32">-(IF(BA$2=1,Assumptions!$X33/12,-(SUMIF($D$2:$EE$2,BA$2-1,$D32:$EE32)/12)*(1+XLOOKUP(BA$2,Assumptions!$C$94:$M$94,Assumptions!$C$98:$M$98))))</f>
        <v>-2492.43926</v>
      </c>
      <c r="BB32" s="54">
        <f t="array" ref="BB32">-(IF(BB$2=1,Assumptions!$X33/12,-(SUMIF($D$2:$EE$2,BB$2-1,$D32:$EE32)/12)*(1+XLOOKUP(BB$2,Assumptions!$C$94:$M$94,Assumptions!$C$98:$M$98))))</f>
        <v>-2492.43926</v>
      </c>
      <c r="BC32" s="54">
        <f t="array" ref="BC32">-(IF(BC$2=1,Assumptions!$X33/12,-(SUMIF($D$2:$EE$2,BC$2-1,$D32:$EE32)/12)*(1+XLOOKUP(BC$2,Assumptions!$C$94:$M$94,Assumptions!$C$98:$M$98))))</f>
        <v>-2492.43926</v>
      </c>
      <c r="BD32" s="54">
        <f t="array" ref="BD32">-(IF(BD$2=1,Assumptions!$X33/12,-(SUMIF($D$2:$EE$2,BD$2-1,$D32:$EE32)/12)*(1+XLOOKUP(BD$2,Assumptions!$C$94:$M$94,Assumptions!$C$98:$M$98))))</f>
        <v>-2492.43926</v>
      </c>
      <c r="BE32" s="54">
        <f t="array" ref="BE32">-(IF(BE$2=1,Assumptions!$X33/12,-(SUMIF($D$2:$EE$2,BE$2-1,$D32:$EE32)/12)*(1+XLOOKUP(BE$2,Assumptions!$C$94:$M$94,Assumptions!$C$98:$M$98))))</f>
        <v>-2492.43926</v>
      </c>
      <c r="BF32" s="54">
        <f t="array" ref="BF32">-(IF(BF$2=1,Assumptions!$X33/12,-(SUMIF($D$2:$EE$2,BF$2-1,$D32:$EE32)/12)*(1+XLOOKUP(BF$2,Assumptions!$C$94:$M$94,Assumptions!$C$98:$M$98))))</f>
        <v>-2492.43926</v>
      </c>
      <c r="BG32" s="54">
        <f t="array" ref="BG32">-(IF(BG$2=1,Assumptions!$X33/12,-(SUMIF($D$2:$EE$2,BG$2-1,$D32:$EE32)/12)*(1+XLOOKUP(BG$2,Assumptions!$C$94:$M$94,Assumptions!$C$98:$M$98))))</f>
        <v>-2492.43926</v>
      </c>
      <c r="BH32" s="54">
        <f t="array" ref="BH32">-(IF(BH$2=1,Assumptions!$X33/12,-(SUMIF($D$2:$EE$2,BH$2-1,$D32:$EE32)/12)*(1+XLOOKUP(BH$2,Assumptions!$C$94:$M$94,Assumptions!$C$98:$M$98))))</f>
        <v>-2492.43926</v>
      </c>
      <c r="BI32" s="54">
        <f t="array" ref="BI32">-(IF(BI$2=1,Assumptions!$X33/12,-(SUMIF($D$2:$EE$2,BI$2-1,$D32:$EE32)/12)*(1+XLOOKUP(BI$2,Assumptions!$C$94:$M$94,Assumptions!$C$98:$M$98))))</f>
        <v>-2492.43926</v>
      </c>
      <c r="BJ32" s="54">
        <f t="array" ref="BJ32">-(IF(BJ$2=1,Assumptions!$X33/12,-(SUMIF($D$2:$EE$2,BJ$2-1,$D32:$EE32)/12)*(1+XLOOKUP(BJ$2,Assumptions!$C$94:$M$94,Assumptions!$C$98:$M$98))))</f>
        <v>-2492.43926</v>
      </c>
      <c r="BK32" s="54">
        <f t="array" ref="BK32">-(IF(BK$2=1,Assumptions!$X33/12,-(SUMIF($D$2:$EE$2,BK$2-1,$D32:$EE32)/12)*(1+XLOOKUP(BK$2,Assumptions!$C$94:$M$94,Assumptions!$C$98:$M$98))))</f>
        <v>-2492.43926</v>
      </c>
      <c r="BL32" s="54">
        <f t="array" ref="BL32">-(IF(BL$2=1,Assumptions!$X33/12,-(SUMIF($D$2:$EE$2,BL$2-1,$D32:$EE32)/12)*(1+XLOOKUP(BL$2,Assumptions!$C$94:$M$94,Assumptions!$C$98:$M$98))))</f>
        <v>-2567.212438</v>
      </c>
      <c r="BM32" s="54">
        <f t="array" ref="BM32">-(IF(BM$2=1,Assumptions!$X33/12,-(SUMIF($D$2:$EE$2,BM$2-1,$D32:$EE32)/12)*(1+XLOOKUP(BM$2,Assumptions!$C$94:$M$94,Assumptions!$C$98:$M$98))))</f>
        <v>-2567.212438</v>
      </c>
      <c r="BN32" s="54">
        <f t="array" ref="BN32">-(IF(BN$2=1,Assumptions!$X33/12,-(SUMIF($D$2:$EE$2,BN$2-1,$D32:$EE32)/12)*(1+XLOOKUP(BN$2,Assumptions!$C$94:$M$94,Assumptions!$C$98:$M$98))))</f>
        <v>-2567.212438</v>
      </c>
      <c r="BO32" s="54">
        <f t="array" ref="BO32">-(IF(BO$2=1,Assumptions!$X33/12,-(SUMIF($D$2:$EE$2,BO$2-1,$D32:$EE32)/12)*(1+XLOOKUP(BO$2,Assumptions!$C$94:$M$94,Assumptions!$C$98:$M$98))))</f>
        <v>-2567.212438</v>
      </c>
      <c r="BP32" s="54">
        <f t="array" ref="BP32">-(IF(BP$2=1,Assumptions!$X33/12,-(SUMIF($D$2:$EE$2,BP$2-1,$D32:$EE32)/12)*(1+XLOOKUP(BP$2,Assumptions!$C$94:$M$94,Assumptions!$C$98:$M$98))))</f>
        <v>-2567.212438</v>
      </c>
      <c r="BQ32" s="54">
        <f t="array" ref="BQ32">-(IF(BQ$2=1,Assumptions!$X33/12,-(SUMIF($D$2:$EE$2,BQ$2-1,$D32:$EE32)/12)*(1+XLOOKUP(BQ$2,Assumptions!$C$94:$M$94,Assumptions!$C$98:$M$98))))</f>
        <v>-2567.212438</v>
      </c>
      <c r="BR32" s="54">
        <f t="array" ref="BR32">-(IF(BR$2=1,Assumptions!$X33/12,-(SUMIF($D$2:$EE$2,BR$2-1,$D32:$EE32)/12)*(1+XLOOKUP(BR$2,Assumptions!$C$94:$M$94,Assumptions!$C$98:$M$98))))</f>
        <v>-2567.212438</v>
      </c>
      <c r="BS32" s="54">
        <f t="array" ref="BS32">-(IF(BS$2=1,Assumptions!$X33/12,-(SUMIF($D$2:$EE$2,BS$2-1,$D32:$EE32)/12)*(1+XLOOKUP(BS$2,Assumptions!$C$94:$M$94,Assumptions!$C$98:$M$98))))</f>
        <v>-2567.212438</v>
      </c>
      <c r="BT32" s="54">
        <f t="array" ref="BT32">-(IF(BT$2=1,Assumptions!$X33/12,-(SUMIF($D$2:$EE$2,BT$2-1,$D32:$EE32)/12)*(1+XLOOKUP(BT$2,Assumptions!$C$94:$M$94,Assumptions!$C$98:$M$98))))</f>
        <v>-2567.212438</v>
      </c>
      <c r="BU32" s="54">
        <f t="array" ref="BU32">-(IF(BU$2=1,Assumptions!$X33/12,-(SUMIF($D$2:$EE$2,BU$2-1,$D32:$EE32)/12)*(1+XLOOKUP(BU$2,Assumptions!$C$94:$M$94,Assumptions!$C$98:$M$98))))</f>
        <v>-2567.212438</v>
      </c>
      <c r="BV32" s="54">
        <f t="array" ref="BV32">-(IF(BV$2=1,Assumptions!$X33/12,-(SUMIF($D$2:$EE$2,BV$2-1,$D32:$EE32)/12)*(1+XLOOKUP(BV$2,Assumptions!$C$94:$M$94,Assumptions!$C$98:$M$98))))</f>
        <v>-2567.212438</v>
      </c>
      <c r="BW32" s="54">
        <f t="array" ref="BW32">-(IF(BW$2=1,Assumptions!$X33/12,-(SUMIF($D$2:$EE$2,BW$2-1,$D32:$EE32)/12)*(1+XLOOKUP(BW$2,Assumptions!$C$94:$M$94,Assumptions!$C$98:$M$98))))</f>
        <v>-2567.212438</v>
      </c>
      <c r="BX32" s="54">
        <f t="array" ref="BX32">-(IF(BX$2=1,Assumptions!$X33/12,-(SUMIF($D$2:$EE$2,BX$2-1,$D32:$EE32)/12)*(1+XLOOKUP(BX$2,Assumptions!$C$94:$M$94,Assumptions!$C$98:$M$98))))</f>
        <v>-2644.228811</v>
      </c>
      <c r="BY32" s="54">
        <f t="array" ref="BY32">-(IF(BY$2=1,Assumptions!$X33/12,-(SUMIF($D$2:$EE$2,BY$2-1,$D32:$EE32)/12)*(1+XLOOKUP(BY$2,Assumptions!$C$94:$M$94,Assumptions!$C$98:$M$98))))</f>
        <v>-2644.228811</v>
      </c>
      <c r="BZ32" s="54">
        <f t="array" ref="BZ32">-(IF(BZ$2=1,Assumptions!$X33/12,-(SUMIF($D$2:$EE$2,BZ$2-1,$D32:$EE32)/12)*(1+XLOOKUP(BZ$2,Assumptions!$C$94:$M$94,Assumptions!$C$98:$M$98))))</f>
        <v>-2644.228811</v>
      </c>
      <c r="CA32" s="54">
        <f t="array" ref="CA32">-(IF(CA$2=1,Assumptions!$X33/12,-(SUMIF($D$2:$EE$2,CA$2-1,$D32:$EE32)/12)*(1+XLOOKUP(CA$2,Assumptions!$C$94:$M$94,Assumptions!$C$98:$M$98))))</f>
        <v>-2644.228811</v>
      </c>
      <c r="CB32" s="54">
        <f t="array" ref="CB32">-(IF(CB$2=1,Assumptions!$X33/12,-(SUMIF($D$2:$EE$2,CB$2-1,$D32:$EE32)/12)*(1+XLOOKUP(CB$2,Assumptions!$C$94:$M$94,Assumptions!$C$98:$M$98))))</f>
        <v>-2644.228811</v>
      </c>
      <c r="CC32" s="54">
        <f t="array" ref="CC32">-(IF(CC$2=1,Assumptions!$X33/12,-(SUMIF($D$2:$EE$2,CC$2-1,$D32:$EE32)/12)*(1+XLOOKUP(CC$2,Assumptions!$C$94:$M$94,Assumptions!$C$98:$M$98))))</f>
        <v>-2644.228811</v>
      </c>
      <c r="CD32" s="54">
        <f t="array" ref="CD32">-(IF(CD$2=1,Assumptions!$X33/12,-(SUMIF($D$2:$EE$2,CD$2-1,$D32:$EE32)/12)*(1+XLOOKUP(CD$2,Assumptions!$C$94:$M$94,Assumptions!$C$98:$M$98))))</f>
        <v>-2644.228811</v>
      </c>
      <c r="CE32" s="54">
        <f t="array" ref="CE32">-(IF(CE$2=1,Assumptions!$X33/12,-(SUMIF($D$2:$EE$2,CE$2-1,$D32:$EE32)/12)*(1+XLOOKUP(CE$2,Assumptions!$C$94:$M$94,Assumptions!$C$98:$M$98))))</f>
        <v>-2644.228811</v>
      </c>
      <c r="CF32" s="54">
        <f t="array" ref="CF32">-(IF(CF$2=1,Assumptions!$X33/12,-(SUMIF($D$2:$EE$2,CF$2-1,$D32:$EE32)/12)*(1+XLOOKUP(CF$2,Assumptions!$C$94:$M$94,Assumptions!$C$98:$M$98))))</f>
        <v>-2644.228811</v>
      </c>
      <c r="CG32" s="54">
        <f t="array" ref="CG32">-(IF(CG$2=1,Assumptions!$X33/12,-(SUMIF($D$2:$EE$2,CG$2-1,$D32:$EE32)/12)*(1+XLOOKUP(CG$2,Assumptions!$C$94:$M$94,Assumptions!$C$98:$M$98))))</f>
        <v>-2644.228811</v>
      </c>
      <c r="CH32" s="54">
        <f t="array" ref="CH32">-(IF(CH$2=1,Assumptions!$X33/12,-(SUMIF($D$2:$EE$2,CH$2-1,$D32:$EE32)/12)*(1+XLOOKUP(CH$2,Assumptions!$C$94:$M$94,Assumptions!$C$98:$M$98))))</f>
        <v>-2644.228811</v>
      </c>
      <c r="CI32" s="54">
        <f t="array" ref="CI32">-(IF(CI$2=1,Assumptions!$X33/12,-(SUMIF($D$2:$EE$2,CI$2-1,$D32:$EE32)/12)*(1+XLOOKUP(CI$2,Assumptions!$C$94:$M$94,Assumptions!$C$98:$M$98))))</f>
        <v>-2644.228811</v>
      </c>
      <c r="CJ32" s="54">
        <f t="array" ref="CJ32">-(IF(CJ$2=1,Assumptions!$X33/12,-(SUMIF($D$2:$EE$2,CJ$2-1,$D32:$EE32)/12)*(1+XLOOKUP(CJ$2,Assumptions!$C$94:$M$94,Assumptions!$C$98:$M$98))))</f>
        <v>-2723.555675</v>
      </c>
      <c r="CK32" s="54">
        <f t="array" ref="CK32">-(IF(CK$2=1,Assumptions!$X33/12,-(SUMIF($D$2:$EE$2,CK$2-1,$D32:$EE32)/12)*(1+XLOOKUP(CK$2,Assumptions!$C$94:$M$94,Assumptions!$C$98:$M$98))))</f>
        <v>-2723.555675</v>
      </c>
      <c r="CL32" s="54">
        <f t="array" ref="CL32">-(IF(CL$2=1,Assumptions!$X33/12,-(SUMIF($D$2:$EE$2,CL$2-1,$D32:$EE32)/12)*(1+XLOOKUP(CL$2,Assumptions!$C$94:$M$94,Assumptions!$C$98:$M$98))))</f>
        <v>-2723.555675</v>
      </c>
      <c r="CM32" s="54">
        <f t="array" ref="CM32">-(IF(CM$2=1,Assumptions!$X33/12,-(SUMIF($D$2:$EE$2,CM$2-1,$D32:$EE32)/12)*(1+XLOOKUP(CM$2,Assumptions!$C$94:$M$94,Assumptions!$C$98:$M$98))))</f>
        <v>-2723.555675</v>
      </c>
      <c r="CN32" s="54">
        <f t="array" ref="CN32">-(IF(CN$2=1,Assumptions!$X33/12,-(SUMIF($D$2:$EE$2,CN$2-1,$D32:$EE32)/12)*(1+XLOOKUP(CN$2,Assumptions!$C$94:$M$94,Assumptions!$C$98:$M$98))))</f>
        <v>-2723.555675</v>
      </c>
      <c r="CO32" s="54">
        <f t="array" ref="CO32">-(IF(CO$2=1,Assumptions!$X33/12,-(SUMIF($D$2:$EE$2,CO$2-1,$D32:$EE32)/12)*(1+XLOOKUP(CO$2,Assumptions!$C$94:$M$94,Assumptions!$C$98:$M$98))))</f>
        <v>-2723.555675</v>
      </c>
      <c r="CP32" s="54">
        <f t="array" ref="CP32">-(IF(CP$2=1,Assumptions!$X33/12,-(SUMIF($D$2:$EE$2,CP$2-1,$D32:$EE32)/12)*(1+XLOOKUP(CP$2,Assumptions!$C$94:$M$94,Assumptions!$C$98:$M$98))))</f>
        <v>-2723.555675</v>
      </c>
      <c r="CQ32" s="54">
        <f t="array" ref="CQ32">-(IF(CQ$2=1,Assumptions!$X33/12,-(SUMIF($D$2:$EE$2,CQ$2-1,$D32:$EE32)/12)*(1+XLOOKUP(CQ$2,Assumptions!$C$94:$M$94,Assumptions!$C$98:$M$98))))</f>
        <v>-2723.555675</v>
      </c>
      <c r="CR32" s="54">
        <f t="array" ref="CR32">-(IF(CR$2=1,Assumptions!$X33/12,-(SUMIF($D$2:$EE$2,CR$2-1,$D32:$EE32)/12)*(1+XLOOKUP(CR$2,Assumptions!$C$94:$M$94,Assumptions!$C$98:$M$98))))</f>
        <v>-2723.555675</v>
      </c>
      <c r="CS32" s="54">
        <f t="array" ref="CS32">-(IF(CS$2=1,Assumptions!$X33/12,-(SUMIF($D$2:$EE$2,CS$2-1,$D32:$EE32)/12)*(1+XLOOKUP(CS$2,Assumptions!$C$94:$M$94,Assumptions!$C$98:$M$98))))</f>
        <v>-2723.555675</v>
      </c>
      <c r="CT32" s="54">
        <f t="array" ref="CT32">-(IF(CT$2=1,Assumptions!$X33/12,-(SUMIF($D$2:$EE$2,CT$2-1,$D32:$EE32)/12)*(1+XLOOKUP(CT$2,Assumptions!$C$94:$M$94,Assumptions!$C$98:$M$98))))</f>
        <v>-2723.555675</v>
      </c>
      <c r="CU32" s="54">
        <f t="array" ref="CU32">-(IF(CU$2=1,Assumptions!$X33/12,-(SUMIF($D$2:$EE$2,CU$2-1,$D32:$EE32)/12)*(1+XLOOKUP(CU$2,Assumptions!$C$94:$M$94,Assumptions!$C$98:$M$98))))</f>
        <v>-2723.555675</v>
      </c>
      <c r="CV32" s="54">
        <f t="array" ref="CV32">-(IF(CV$2=1,Assumptions!$X33/12,-(SUMIF($D$2:$EE$2,CV$2-1,$D32:$EE32)/12)*(1+XLOOKUP(CV$2,Assumptions!$C$94:$M$94,Assumptions!$C$98:$M$98))))</f>
        <v>-2805.262345</v>
      </c>
      <c r="CW32" s="54">
        <f t="array" ref="CW32">-(IF(CW$2=1,Assumptions!$X33/12,-(SUMIF($D$2:$EE$2,CW$2-1,$D32:$EE32)/12)*(1+XLOOKUP(CW$2,Assumptions!$C$94:$M$94,Assumptions!$C$98:$M$98))))</f>
        <v>-2805.262345</v>
      </c>
      <c r="CX32" s="54">
        <f t="array" ref="CX32">-(IF(CX$2=1,Assumptions!$X33/12,-(SUMIF($D$2:$EE$2,CX$2-1,$D32:$EE32)/12)*(1+XLOOKUP(CX$2,Assumptions!$C$94:$M$94,Assumptions!$C$98:$M$98))))</f>
        <v>-2805.262345</v>
      </c>
      <c r="CY32" s="54">
        <f t="array" ref="CY32">-(IF(CY$2=1,Assumptions!$X33/12,-(SUMIF($D$2:$EE$2,CY$2-1,$D32:$EE32)/12)*(1+XLOOKUP(CY$2,Assumptions!$C$94:$M$94,Assumptions!$C$98:$M$98))))</f>
        <v>-2805.262345</v>
      </c>
      <c r="CZ32" s="54">
        <f t="array" ref="CZ32">-(IF(CZ$2=1,Assumptions!$X33/12,-(SUMIF($D$2:$EE$2,CZ$2-1,$D32:$EE32)/12)*(1+XLOOKUP(CZ$2,Assumptions!$C$94:$M$94,Assumptions!$C$98:$M$98))))</f>
        <v>-2805.262345</v>
      </c>
      <c r="DA32" s="54">
        <f t="array" ref="DA32">-(IF(DA$2=1,Assumptions!$X33/12,-(SUMIF($D$2:$EE$2,DA$2-1,$D32:$EE32)/12)*(1+XLOOKUP(DA$2,Assumptions!$C$94:$M$94,Assumptions!$C$98:$M$98))))</f>
        <v>-2805.262345</v>
      </c>
      <c r="DB32" s="54">
        <f t="array" ref="DB32">-(IF(DB$2=1,Assumptions!$X33/12,-(SUMIF($D$2:$EE$2,DB$2-1,$D32:$EE32)/12)*(1+XLOOKUP(DB$2,Assumptions!$C$94:$M$94,Assumptions!$C$98:$M$98))))</f>
        <v>-2805.262345</v>
      </c>
      <c r="DC32" s="54">
        <f t="array" ref="DC32">-(IF(DC$2=1,Assumptions!$X33/12,-(SUMIF($D$2:$EE$2,DC$2-1,$D32:$EE32)/12)*(1+XLOOKUP(DC$2,Assumptions!$C$94:$M$94,Assumptions!$C$98:$M$98))))</f>
        <v>-2805.262345</v>
      </c>
      <c r="DD32" s="54">
        <f t="array" ref="DD32">-(IF(DD$2=1,Assumptions!$X33/12,-(SUMIF($D$2:$EE$2,DD$2-1,$D32:$EE32)/12)*(1+XLOOKUP(DD$2,Assumptions!$C$94:$M$94,Assumptions!$C$98:$M$98))))</f>
        <v>-2805.262345</v>
      </c>
      <c r="DE32" s="54">
        <f t="array" ref="DE32">-(IF(DE$2=1,Assumptions!$X33/12,-(SUMIF($D$2:$EE$2,DE$2-1,$D32:$EE32)/12)*(1+XLOOKUP(DE$2,Assumptions!$C$94:$M$94,Assumptions!$C$98:$M$98))))</f>
        <v>-2805.262345</v>
      </c>
      <c r="DF32" s="54">
        <f t="array" ref="DF32">-(IF(DF$2=1,Assumptions!$X33/12,-(SUMIF($D$2:$EE$2,DF$2-1,$D32:$EE32)/12)*(1+XLOOKUP(DF$2,Assumptions!$C$94:$M$94,Assumptions!$C$98:$M$98))))</f>
        <v>-2805.262345</v>
      </c>
      <c r="DG32" s="54">
        <f t="array" ref="DG32">-(IF(DG$2=1,Assumptions!$X33/12,-(SUMIF($D$2:$EE$2,DG$2-1,$D32:$EE32)/12)*(1+XLOOKUP(DG$2,Assumptions!$C$94:$M$94,Assumptions!$C$98:$M$98))))</f>
        <v>-2805.262345</v>
      </c>
      <c r="DH32" s="54">
        <f t="array" ref="DH32">-(IF(DH$2=1,Assumptions!$X33/12,-(SUMIF($D$2:$EE$2,DH$2-1,$D32:$EE32)/12)*(1+XLOOKUP(DH$2,Assumptions!$C$94:$M$94,Assumptions!$C$98:$M$98))))</f>
        <v>-2889.420216</v>
      </c>
      <c r="DI32" s="54">
        <f t="array" ref="DI32">-(IF(DI$2=1,Assumptions!$X33/12,-(SUMIF($D$2:$EE$2,DI$2-1,$D32:$EE32)/12)*(1+XLOOKUP(DI$2,Assumptions!$C$94:$M$94,Assumptions!$C$98:$M$98))))</f>
        <v>-2889.420216</v>
      </c>
      <c r="DJ32" s="54">
        <f t="array" ref="DJ32">-(IF(DJ$2=1,Assumptions!$X33/12,-(SUMIF($D$2:$EE$2,DJ$2-1,$D32:$EE32)/12)*(1+XLOOKUP(DJ$2,Assumptions!$C$94:$M$94,Assumptions!$C$98:$M$98))))</f>
        <v>-2889.420216</v>
      </c>
      <c r="DK32" s="54">
        <f t="array" ref="DK32">-(IF(DK$2=1,Assumptions!$X33/12,-(SUMIF($D$2:$EE$2,DK$2-1,$D32:$EE32)/12)*(1+XLOOKUP(DK$2,Assumptions!$C$94:$M$94,Assumptions!$C$98:$M$98))))</f>
        <v>-2889.420216</v>
      </c>
      <c r="DL32" s="54">
        <f t="array" ref="DL32">-(IF(DL$2=1,Assumptions!$X33/12,-(SUMIF($D$2:$EE$2,DL$2-1,$D32:$EE32)/12)*(1+XLOOKUP(DL$2,Assumptions!$C$94:$M$94,Assumptions!$C$98:$M$98))))</f>
        <v>-2889.420216</v>
      </c>
      <c r="DM32" s="54">
        <f t="array" ref="DM32">-(IF(DM$2=1,Assumptions!$X33/12,-(SUMIF($D$2:$EE$2,DM$2-1,$D32:$EE32)/12)*(1+XLOOKUP(DM$2,Assumptions!$C$94:$M$94,Assumptions!$C$98:$M$98))))</f>
        <v>-2889.420216</v>
      </c>
      <c r="DN32" s="54">
        <f t="array" ref="DN32">-(IF(DN$2=1,Assumptions!$X33/12,-(SUMIF($D$2:$EE$2,DN$2-1,$D32:$EE32)/12)*(1+XLOOKUP(DN$2,Assumptions!$C$94:$M$94,Assumptions!$C$98:$M$98))))</f>
        <v>-2889.420216</v>
      </c>
      <c r="DO32" s="54">
        <f t="array" ref="DO32">-(IF(DO$2=1,Assumptions!$X33/12,-(SUMIF($D$2:$EE$2,DO$2-1,$D32:$EE32)/12)*(1+XLOOKUP(DO$2,Assumptions!$C$94:$M$94,Assumptions!$C$98:$M$98))))</f>
        <v>-2889.420216</v>
      </c>
      <c r="DP32" s="54">
        <f t="array" ref="DP32">-(IF(DP$2=1,Assumptions!$X33/12,-(SUMIF($D$2:$EE$2,DP$2-1,$D32:$EE32)/12)*(1+XLOOKUP(DP$2,Assumptions!$C$94:$M$94,Assumptions!$C$98:$M$98))))</f>
        <v>-2889.420216</v>
      </c>
      <c r="DQ32" s="54">
        <f t="array" ref="DQ32">-(IF(DQ$2=1,Assumptions!$X33/12,-(SUMIF($D$2:$EE$2,DQ$2-1,$D32:$EE32)/12)*(1+XLOOKUP(DQ$2,Assumptions!$C$94:$M$94,Assumptions!$C$98:$M$98))))</f>
        <v>-2889.420216</v>
      </c>
      <c r="DR32" s="54">
        <f t="array" ref="DR32">-(IF(DR$2=1,Assumptions!$X33/12,-(SUMIF($D$2:$EE$2,DR$2-1,$D32:$EE32)/12)*(1+XLOOKUP(DR$2,Assumptions!$C$94:$M$94,Assumptions!$C$98:$M$98))))</f>
        <v>-2889.420216</v>
      </c>
      <c r="DS32" s="54">
        <f t="array" ref="DS32">-(IF(DS$2=1,Assumptions!$X33/12,-(SUMIF($D$2:$EE$2,DS$2-1,$D32:$EE32)/12)*(1+XLOOKUP(DS$2,Assumptions!$C$94:$M$94,Assumptions!$C$98:$M$98))))</f>
        <v>-2889.420216</v>
      </c>
      <c r="DT32" s="54">
        <f t="array" ref="DT32">-(IF(DT$2=1,Assumptions!$X33/12,-(SUMIF($D$2:$EE$2,DT$2-1,$D32:$EE32)/12)*(1+XLOOKUP(DT$2,Assumptions!$C$94:$M$94,Assumptions!$C$98:$M$98))))</f>
        <v>-2976.102822</v>
      </c>
      <c r="DU32" s="54">
        <f t="array" ref="DU32">-(IF(DU$2=1,Assumptions!$X33/12,-(SUMIF($D$2:$EE$2,DU$2-1,$D32:$EE32)/12)*(1+XLOOKUP(DU$2,Assumptions!$C$94:$M$94,Assumptions!$C$98:$M$98))))</f>
        <v>-2976.102822</v>
      </c>
      <c r="DV32" s="54">
        <f t="array" ref="DV32">-(IF(DV$2=1,Assumptions!$X33/12,-(SUMIF($D$2:$EE$2,DV$2-1,$D32:$EE32)/12)*(1+XLOOKUP(DV$2,Assumptions!$C$94:$M$94,Assumptions!$C$98:$M$98))))</f>
        <v>-2976.102822</v>
      </c>
      <c r="DW32" s="54">
        <f t="array" ref="DW32">-(IF(DW$2=1,Assumptions!$X33/12,-(SUMIF($D$2:$EE$2,DW$2-1,$D32:$EE32)/12)*(1+XLOOKUP(DW$2,Assumptions!$C$94:$M$94,Assumptions!$C$98:$M$98))))</f>
        <v>-2976.102822</v>
      </c>
      <c r="DX32" s="54">
        <f t="array" ref="DX32">-(IF(DX$2=1,Assumptions!$X33/12,-(SUMIF($D$2:$EE$2,DX$2-1,$D32:$EE32)/12)*(1+XLOOKUP(DX$2,Assumptions!$C$94:$M$94,Assumptions!$C$98:$M$98))))</f>
        <v>-2976.102822</v>
      </c>
      <c r="DY32" s="54">
        <f t="array" ref="DY32">-(IF(DY$2=1,Assumptions!$X33/12,-(SUMIF($D$2:$EE$2,DY$2-1,$D32:$EE32)/12)*(1+XLOOKUP(DY$2,Assumptions!$C$94:$M$94,Assumptions!$C$98:$M$98))))</f>
        <v>-2976.102822</v>
      </c>
      <c r="DZ32" s="54">
        <f t="array" ref="DZ32">-(IF(DZ$2=1,Assumptions!$X33/12,-(SUMIF($D$2:$EE$2,DZ$2-1,$D32:$EE32)/12)*(1+XLOOKUP(DZ$2,Assumptions!$C$94:$M$94,Assumptions!$C$98:$M$98))))</f>
        <v>-2976.102822</v>
      </c>
      <c r="EA32" s="54">
        <f t="array" ref="EA32">-(IF(EA$2=1,Assumptions!$X33/12,-(SUMIF($D$2:$EE$2,EA$2-1,$D32:$EE32)/12)*(1+XLOOKUP(EA$2,Assumptions!$C$94:$M$94,Assumptions!$C$98:$M$98))))</f>
        <v>-2976.102822</v>
      </c>
      <c r="EB32" s="54">
        <f t="array" ref="EB32">-(IF(EB$2=1,Assumptions!$X33/12,-(SUMIF($D$2:$EE$2,EB$2-1,$D32:$EE32)/12)*(1+XLOOKUP(EB$2,Assumptions!$C$94:$M$94,Assumptions!$C$98:$M$98))))</f>
        <v>-2976.102822</v>
      </c>
      <c r="EC32" s="54">
        <f t="array" ref="EC32">-(IF(EC$2=1,Assumptions!$X33/12,-(SUMIF($D$2:$EE$2,EC$2-1,$D32:$EE32)/12)*(1+XLOOKUP(EC$2,Assumptions!$C$94:$M$94,Assumptions!$C$98:$M$98))))</f>
        <v>-2976.102822</v>
      </c>
      <c r="ED32" s="54">
        <f t="array" ref="ED32">-(IF(ED$2=1,Assumptions!$X33/12,-(SUMIF($D$2:$EE$2,ED$2-1,$D32:$EE32)/12)*(1+XLOOKUP(ED$2,Assumptions!$C$94:$M$94,Assumptions!$C$98:$M$98))))</f>
        <v>-2976.102822</v>
      </c>
      <c r="EE32" s="54">
        <f t="array" ref="EE32">-(IF(EE$2=1,Assumptions!$X33/12,-(SUMIF($D$2:$EE$2,EE$2-1,$D32:$EE32)/12)*(1+XLOOKUP(EE$2,Assumptions!$C$94:$M$94,Assumptions!$C$98:$M$98))))</f>
        <v>-2976.102822</v>
      </c>
    </row>
    <row r="33" ht="15.75" customHeight="1">
      <c r="A33" s="1"/>
      <c r="B33" s="1"/>
      <c r="C33" s="1" t="str">
        <f>Assumptions!J34</f>
        <v>Tax</v>
      </c>
      <c r="D33" s="54">
        <f t="array" ref="D33">-(IF(D$2=1,Assumptions!$X34/12,-(SUMIF($D$2:$EE$2,D$2-1,$D33:$EE33)/12)*(1+XLOOKUP(D$2,Assumptions!$C$94:$M$94,Assumptions!$C$98:$M$98))))</f>
        <v>-23269.03135</v>
      </c>
      <c r="E33" s="54">
        <f t="array" ref="E33">-(IF(E$2=1,Assumptions!$X34/12,-(SUMIF($D$2:$EE$2,E$2-1,$D33:$EE33)/12)*(1+XLOOKUP(E$2,Assumptions!$C$94:$M$94,Assumptions!$C$98:$M$98))))</f>
        <v>-23269.03135</v>
      </c>
      <c r="F33" s="54">
        <f t="array" ref="F33">-(IF(F$2=1,Assumptions!$X34/12,-(SUMIF($D$2:$EE$2,F$2-1,$D33:$EE33)/12)*(1+XLOOKUP(F$2,Assumptions!$C$94:$M$94,Assumptions!$C$98:$M$98))))</f>
        <v>-23269.03135</v>
      </c>
      <c r="G33" s="54">
        <f t="array" ref="G33">-(IF(G$2=1,Assumptions!$X34/12,-(SUMIF($D$2:$EE$2,G$2-1,$D33:$EE33)/12)*(1+XLOOKUP(G$2,Assumptions!$C$94:$M$94,Assumptions!$C$98:$M$98))))</f>
        <v>-23269.03135</v>
      </c>
      <c r="H33" s="54">
        <f t="array" ref="H33">-(IF(H$2=1,Assumptions!$X34/12,-(SUMIF($D$2:$EE$2,H$2-1,$D33:$EE33)/12)*(1+XLOOKUP(H$2,Assumptions!$C$94:$M$94,Assumptions!$C$98:$M$98))))</f>
        <v>-23269.03135</v>
      </c>
      <c r="I33" s="54">
        <f t="array" ref="I33">-(IF(I$2=1,Assumptions!$X34/12,-(SUMIF($D$2:$EE$2,I$2-1,$D33:$EE33)/12)*(1+XLOOKUP(I$2,Assumptions!$C$94:$M$94,Assumptions!$C$98:$M$98))))</f>
        <v>-23269.03135</v>
      </c>
      <c r="J33" s="54">
        <f t="array" ref="J33">-(IF(J$2=1,Assumptions!$X34/12,-(SUMIF($D$2:$EE$2,J$2-1,$D33:$EE33)/12)*(1+XLOOKUP(J$2,Assumptions!$C$94:$M$94,Assumptions!$C$98:$M$98))))</f>
        <v>-23269.03135</v>
      </c>
      <c r="K33" s="54">
        <f t="array" ref="K33">-(IF(K$2=1,Assumptions!$X34/12,-(SUMIF($D$2:$EE$2,K$2-1,$D33:$EE33)/12)*(1+XLOOKUP(K$2,Assumptions!$C$94:$M$94,Assumptions!$C$98:$M$98))))</f>
        <v>-23269.03135</v>
      </c>
      <c r="L33" s="54">
        <f t="array" ref="L33">-(IF(L$2=1,Assumptions!$X34/12,-(SUMIF($D$2:$EE$2,L$2-1,$D33:$EE33)/12)*(1+XLOOKUP(L$2,Assumptions!$C$94:$M$94,Assumptions!$C$98:$M$98))))</f>
        <v>-23269.03135</v>
      </c>
      <c r="M33" s="54">
        <f t="array" ref="M33">-(IF(M$2=1,Assumptions!$X34/12,-(SUMIF($D$2:$EE$2,M$2-1,$D33:$EE33)/12)*(1+XLOOKUP(M$2,Assumptions!$C$94:$M$94,Assumptions!$C$98:$M$98))))</f>
        <v>-23269.03135</v>
      </c>
      <c r="N33" s="54">
        <f t="array" ref="N33">-(IF(N$2=1,Assumptions!$X34/12,-(SUMIF($D$2:$EE$2,N$2-1,$D33:$EE33)/12)*(1+XLOOKUP(N$2,Assumptions!$C$94:$M$94,Assumptions!$C$98:$M$98))))</f>
        <v>-23269.03135</v>
      </c>
      <c r="O33" s="54">
        <f t="array" ref="O33">-(IF(O$2=1,Assumptions!$X34/12,-(SUMIF($D$2:$EE$2,O$2-1,$D33:$EE33)/12)*(1+XLOOKUP(O$2,Assumptions!$C$94:$M$94,Assumptions!$C$98:$M$98))))</f>
        <v>-23269.03135</v>
      </c>
      <c r="P33" s="54">
        <f t="array" ref="P33">-(IF(P$2=1,Assumptions!$X34/12,-(SUMIF($D$2:$EE$2,P$2-1,$D33:$EE33)/12)*(1+XLOOKUP(P$2,Assumptions!$C$94:$M$94,Assumptions!$C$98:$M$98))))</f>
        <v>-23967.10229</v>
      </c>
      <c r="Q33" s="54">
        <f t="array" ref="Q33">-(IF(Q$2=1,Assumptions!$X34/12,-(SUMIF($D$2:$EE$2,Q$2-1,$D33:$EE33)/12)*(1+XLOOKUP(Q$2,Assumptions!$C$94:$M$94,Assumptions!$C$98:$M$98))))</f>
        <v>-23967.10229</v>
      </c>
      <c r="R33" s="54">
        <f t="array" ref="R33">-(IF(R$2=1,Assumptions!$X34/12,-(SUMIF($D$2:$EE$2,R$2-1,$D33:$EE33)/12)*(1+XLOOKUP(R$2,Assumptions!$C$94:$M$94,Assumptions!$C$98:$M$98))))</f>
        <v>-23967.10229</v>
      </c>
      <c r="S33" s="54">
        <f t="array" ref="S33">-(IF(S$2=1,Assumptions!$X34/12,-(SUMIF($D$2:$EE$2,S$2-1,$D33:$EE33)/12)*(1+XLOOKUP(S$2,Assumptions!$C$94:$M$94,Assumptions!$C$98:$M$98))))</f>
        <v>-23967.10229</v>
      </c>
      <c r="T33" s="54">
        <f t="array" ref="T33">-(IF(T$2=1,Assumptions!$X34/12,-(SUMIF($D$2:$EE$2,T$2-1,$D33:$EE33)/12)*(1+XLOOKUP(T$2,Assumptions!$C$94:$M$94,Assumptions!$C$98:$M$98))))</f>
        <v>-23967.10229</v>
      </c>
      <c r="U33" s="54">
        <f t="array" ref="U33">-(IF(U$2=1,Assumptions!$X34/12,-(SUMIF($D$2:$EE$2,U$2-1,$D33:$EE33)/12)*(1+XLOOKUP(U$2,Assumptions!$C$94:$M$94,Assumptions!$C$98:$M$98))))</f>
        <v>-23967.10229</v>
      </c>
      <c r="V33" s="54">
        <f t="array" ref="V33">-(IF(V$2=1,Assumptions!$X34/12,-(SUMIF($D$2:$EE$2,V$2-1,$D33:$EE33)/12)*(1+XLOOKUP(V$2,Assumptions!$C$94:$M$94,Assumptions!$C$98:$M$98))))</f>
        <v>-23967.10229</v>
      </c>
      <c r="W33" s="54">
        <f t="array" ref="W33">-(IF(W$2=1,Assumptions!$X34/12,-(SUMIF($D$2:$EE$2,W$2-1,$D33:$EE33)/12)*(1+XLOOKUP(W$2,Assumptions!$C$94:$M$94,Assumptions!$C$98:$M$98))))</f>
        <v>-23967.10229</v>
      </c>
      <c r="X33" s="54">
        <f t="array" ref="X33">-(IF(X$2=1,Assumptions!$X34/12,-(SUMIF($D$2:$EE$2,X$2-1,$D33:$EE33)/12)*(1+XLOOKUP(X$2,Assumptions!$C$94:$M$94,Assumptions!$C$98:$M$98))))</f>
        <v>-23967.10229</v>
      </c>
      <c r="Y33" s="54">
        <f t="array" ref="Y33">-(IF(Y$2=1,Assumptions!$X34/12,-(SUMIF($D$2:$EE$2,Y$2-1,$D33:$EE33)/12)*(1+XLOOKUP(Y$2,Assumptions!$C$94:$M$94,Assumptions!$C$98:$M$98))))</f>
        <v>-23967.10229</v>
      </c>
      <c r="Z33" s="54">
        <f t="array" ref="Z33">-(IF(Z$2=1,Assumptions!$X34/12,-(SUMIF($D$2:$EE$2,Z$2-1,$D33:$EE33)/12)*(1+XLOOKUP(Z$2,Assumptions!$C$94:$M$94,Assumptions!$C$98:$M$98))))</f>
        <v>-23967.10229</v>
      </c>
      <c r="AA33" s="54">
        <f t="array" ref="AA33">-(IF(AA$2=1,Assumptions!$X34/12,-(SUMIF($D$2:$EE$2,AA$2-1,$D33:$EE33)/12)*(1+XLOOKUP(AA$2,Assumptions!$C$94:$M$94,Assumptions!$C$98:$M$98))))</f>
        <v>-23967.10229</v>
      </c>
      <c r="AB33" s="54">
        <f t="array" ref="AB33">-(IF(AB$2=1,Assumptions!$X34/12,-(SUMIF($D$2:$EE$2,AB$2-1,$D33:$EE33)/12)*(1+XLOOKUP(AB$2,Assumptions!$C$94:$M$94,Assumptions!$C$98:$M$98))))</f>
        <v>-24686.11536</v>
      </c>
      <c r="AC33" s="54">
        <f t="array" ref="AC33">-(IF(AC$2=1,Assumptions!$X34/12,-(SUMIF($D$2:$EE$2,AC$2-1,$D33:$EE33)/12)*(1+XLOOKUP(AC$2,Assumptions!$C$94:$M$94,Assumptions!$C$98:$M$98))))</f>
        <v>-24686.11536</v>
      </c>
      <c r="AD33" s="54">
        <f t="array" ref="AD33">-(IF(AD$2=1,Assumptions!$X34/12,-(SUMIF($D$2:$EE$2,AD$2-1,$D33:$EE33)/12)*(1+XLOOKUP(AD$2,Assumptions!$C$94:$M$94,Assumptions!$C$98:$M$98))))</f>
        <v>-24686.11536</v>
      </c>
      <c r="AE33" s="54">
        <f t="array" ref="AE33">-(IF(AE$2=1,Assumptions!$X34/12,-(SUMIF($D$2:$EE$2,AE$2-1,$D33:$EE33)/12)*(1+XLOOKUP(AE$2,Assumptions!$C$94:$M$94,Assumptions!$C$98:$M$98))))</f>
        <v>-24686.11536</v>
      </c>
      <c r="AF33" s="54">
        <f t="array" ref="AF33">-(IF(AF$2=1,Assumptions!$X34/12,-(SUMIF($D$2:$EE$2,AF$2-1,$D33:$EE33)/12)*(1+XLOOKUP(AF$2,Assumptions!$C$94:$M$94,Assumptions!$C$98:$M$98))))</f>
        <v>-24686.11536</v>
      </c>
      <c r="AG33" s="54">
        <f t="array" ref="AG33">-(IF(AG$2=1,Assumptions!$X34/12,-(SUMIF($D$2:$EE$2,AG$2-1,$D33:$EE33)/12)*(1+XLOOKUP(AG$2,Assumptions!$C$94:$M$94,Assumptions!$C$98:$M$98))))</f>
        <v>-24686.11536</v>
      </c>
      <c r="AH33" s="54">
        <f t="array" ref="AH33">-(IF(AH$2=1,Assumptions!$X34/12,-(SUMIF($D$2:$EE$2,AH$2-1,$D33:$EE33)/12)*(1+XLOOKUP(AH$2,Assumptions!$C$94:$M$94,Assumptions!$C$98:$M$98))))</f>
        <v>-24686.11536</v>
      </c>
      <c r="AI33" s="54">
        <f t="array" ref="AI33">-(IF(AI$2=1,Assumptions!$X34/12,-(SUMIF($D$2:$EE$2,AI$2-1,$D33:$EE33)/12)*(1+XLOOKUP(AI$2,Assumptions!$C$94:$M$94,Assumptions!$C$98:$M$98))))</f>
        <v>-24686.11536</v>
      </c>
      <c r="AJ33" s="54">
        <f t="array" ref="AJ33">-(IF(AJ$2=1,Assumptions!$X34/12,-(SUMIF($D$2:$EE$2,AJ$2-1,$D33:$EE33)/12)*(1+XLOOKUP(AJ$2,Assumptions!$C$94:$M$94,Assumptions!$C$98:$M$98))))</f>
        <v>-24686.11536</v>
      </c>
      <c r="AK33" s="54">
        <f t="array" ref="AK33">-(IF(AK$2=1,Assumptions!$X34/12,-(SUMIF($D$2:$EE$2,AK$2-1,$D33:$EE33)/12)*(1+XLOOKUP(AK$2,Assumptions!$C$94:$M$94,Assumptions!$C$98:$M$98))))</f>
        <v>-24686.11536</v>
      </c>
      <c r="AL33" s="54">
        <f t="array" ref="AL33">-(IF(AL$2=1,Assumptions!$X34/12,-(SUMIF($D$2:$EE$2,AL$2-1,$D33:$EE33)/12)*(1+XLOOKUP(AL$2,Assumptions!$C$94:$M$94,Assumptions!$C$98:$M$98))))</f>
        <v>-24686.11536</v>
      </c>
      <c r="AM33" s="54">
        <f t="array" ref="AM33">-(IF(AM$2=1,Assumptions!$X34/12,-(SUMIF($D$2:$EE$2,AM$2-1,$D33:$EE33)/12)*(1+XLOOKUP(AM$2,Assumptions!$C$94:$M$94,Assumptions!$C$98:$M$98))))</f>
        <v>-24686.11536</v>
      </c>
      <c r="AN33" s="54">
        <f t="array" ref="AN33">-(IF(AN$2=1,Assumptions!$X34/12,-(SUMIF($D$2:$EE$2,AN$2-1,$D33:$EE33)/12)*(1+XLOOKUP(AN$2,Assumptions!$C$94:$M$94,Assumptions!$C$98:$M$98))))</f>
        <v>-25426.69882</v>
      </c>
      <c r="AO33" s="54">
        <f t="array" ref="AO33">-(IF(AO$2=1,Assumptions!$X34/12,-(SUMIF($D$2:$EE$2,AO$2-1,$D33:$EE33)/12)*(1+XLOOKUP(AO$2,Assumptions!$C$94:$M$94,Assumptions!$C$98:$M$98))))</f>
        <v>-25426.69882</v>
      </c>
      <c r="AP33" s="54">
        <f t="array" ref="AP33">-(IF(AP$2=1,Assumptions!$X34/12,-(SUMIF($D$2:$EE$2,AP$2-1,$D33:$EE33)/12)*(1+XLOOKUP(AP$2,Assumptions!$C$94:$M$94,Assumptions!$C$98:$M$98))))</f>
        <v>-25426.69882</v>
      </c>
      <c r="AQ33" s="54">
        <f t="array" ref="AQ33">-(IF(AQ$2=1,Assumptions!$X34/12,-(SUMIF($D$2:$EE$2,AQ$2-1,$D33:$EE33)/12)*(1+XLOOKUP(AQ$2,Assumptions!$C$94:$M$94,Assumptions!$C$98:$M$98))))</f>
        <v>-25426.69882</v>
      </c>
      <c r="AR33" s="54">
        <f t="array" ref="AR33">-(IF(AR$2=1,Assumptions!$X34/12,-(SUMIF($D$2:$EE$2,AR$2-1,$D33:$EE33)/12)*(1+XLOOKUP(AR$2,Assumptions!$C$94:$M$94,Assumptions!$C$98:$M$98))))</f>
        <v>-25426.69882</v>
      </c>
      <c r="AS33" s="54">
        <f t="array" ref="AS33">-(IF(AS$2=1,Assumptions!$X34/12,-(SUMIF($D$2:$EE$2,AS$2-1,$D33:$EE33)/12)*(1+XLOOKUP(AS$2,Assumptions!$C$94:$M$94,Assumptions!$C$98:$M$98))))</f>
        <v>-25426.69882</v>
      </c>
      <c r="AT33" s="54">
        <f t="array" ref="AT33">-(IF(AT$2=1,Assumptions!$X34/12,-(SUMIF($D$2:$EE$2,AT$2-1,$D33:$EE33)/12)*(1+XLOOKUP(AT$2,Assumptions!$C$94:$M$94,Assumptions!$C$98:$M$98))))</f>
        <v>-25426.69882</v>
      </c>
      <c r="AU33" s="54">
        <f t="array" ref="AU33">-(IF(AU$2=1,Assumptions!$X34/12,-(SUMIF($D$2:$EE$2,AU$2-1,$D33:$EE33)/12)*(1+XLOOKUP(AU$2,Assumptions!$C$94:$M$94,Assumptions!$C$98:$M$98))))</f>
        <v>-25426.69882</v>
      </c>
      <c r="AV33" s="54">
        <f t="array" ref="AV33">-(IF(AV$2=1,Assumptions!$X34/12,-(SUMIF($D$2:$EE$2,AV$2-1,$D33:$EE33)/12)*(1+XLOOKUP(AV$2,Assumptions!$C$94:$M$94,Assumptions!$C$98:$M$98))))</f>
        <v>-25426.69882</v>
      </c>
      <c r="AW33" s="54">
        <f t="array" ref="AW33">-(IF(AW$2=1,Assumptions!$X34/12,-(SUMIF($D$2:$EE$2,AW$2-1,$D33:$EE33)/12)*(1+XLOOKUP(AW$2,Assumptions!$C$94:$M$94,Assumptions!$C$98:$M$98))))</f>
        <v>-25426.69882</v>
      </c>
      <c r="AX33" s="54">
        <f t="array" ref="AX33">-(IF(AX$2=1,Assumptions!$X34/12,-(SUMIF($D$2:$EE$2,AX$2-1,$D33:$EE33)/12)*(1+XLOOKUP(AX$2,Assumptions!$C$94:$M$94,Assumptions!$C$98:$M$98))))</f>
        <v>-25426.69882</v>
      </c>
      <c r="AY33" s="54">
        <f t="array" ref="AY33">-(IF(AY$2=1,Assumptions!$X34/12,-(SUMIF($D$2:$EE$2,AY$2-1,$D33:$EE33)/12)*(1+XLOOKUP(AY$2,Assumptions!$C$94:$M$94,Assumptions!$C$98:$M$98))))</f>
        <v>-25426.69882</v>
      </c>
      <c r="AZ33" s="54">
        <f t="array" ref="AZ33">-(IF(AZ$2=1,Assumptions!$X34/12,-(SUMIF($D$2:$EE$2,AZ$2-1,$D33:$EE33)/12)*(1+XLOOKUP(AZ$2,Assumptions!$C$94:$M$94,Assumptions!$C$98:$M$98))))</f>
        <v>-26189.49978</v>
      </c>
      <c r="BA33" s="54">
        <f t="array" ref="BA33">-(IF(BA$2=1,Assumptions!$X34/12,-(SUMIF($D$2:$EE$2,BA$2-1,$D33:$EE33)/12)*(1+XLOOKUP(BA$2,Assumptions!$C$94:$M$94,Assumptions!$C$98:$M$98))))</f>
        <v>-26189.49978</v>
      </c>
      <c r="BB33" s="54">
        <f t="array" ref="BB33">-(IF(BB$2=1,Assumptions!$X34/12,-(SUMIF($D$2:$EE$2,BB$2-1,$D33:$EE33)/12)*(1+XLOOKUP(BB$2,Assumptions!$C$94:$M$94,Assumptions!$C$98:$M$98))))</f>
        <v>-26189.49978</v>
      </c>
      <c r="BC33" s="54">
        <f t="array" ref="BC33">-(IF(BC$2=1,Assumptions!$X34/12,-(SUMIF($D$2:$EE$2,BC$2-1,$D33:$EE33)/12)*(1+XLOOKUP(BC$2,Assumptions!$C$94:$M$94,Assumptions!$C$98:$M$98))))</f>
        <v>-26189.49978</v>
      </c>
      <c r="BD33" s="54">
        <f t="array" ref="BD33">-(IF(BD$2=1,Assumptions!$X34/12,-(SUMIF($D$2:$EE$2,BD$2-1,$D33:$EE33)/12)*(1+XLOOKUP(BD$2,Assumptions!$C$94:$M$94,Assumptions!$C$98:$M$98))))</f>
        <v>-26189.49978</v>
      </c>
      <c r="BE33" s="54">
        <f t="array" ref="BE33">-(IF(BE$2=1,Assumptions!$X34/12,-(SUMIF($D$2:$EE$2,BE$2-1,$D33:$EE33)/12)*(1+XLOOKUP(BE$2,Assumptions!$C$94:$M$94,Assumptions!$C$98:$M$98))))</f>
        <v>-26189.49978</v>
      </c>
      <c r="BF33" s="54">
        <f t="array" ref="BF33">-(IF(BF$2=1,Assumptions!$X34/12,-(SUMIF($D$2:$EE$2,BF$2-1,$D33:$EE33)/12)*(1+XLOOKUP(BF$2,Assumptions!$C$94:$M$94,Assumptions!$C$98:$M$98))))</f>
        <v>-26189.49978</v>
      </c>
      <c r="BG33" s="54">
        <f t="array" ref="BG33">-(IF(BG$2=1,Assumptions!$X34/12,-(SUMIF($D$2:$EE$2,BG$2-1,$D33:$EE33)/12)*(1+XLOOKUP(BG$2,Assumptions!$C$94:$M$94,Assumptions!$C$98:$M$98))))</f>
        <v>-26189.49978</v>
      </c>
      <c r="BH33" s="54">
        <f t="array" ref="BH33">-(IF(BH$2=1,Assumptions!$X34/12,-(SUMIF($D$2:$EE$2,BH$2-1,$D33:$EE33)/12)*(1+XLOOKUP(BH$2,Assumptions!$C$94:$M$94,Assumptions!$C$98:$M$98))))</f>
        <v>-26189.49978</v>
      </c>
      <c r="BI33" s="54">
        <f t="array" ref="BI33">-(IF(BI$2=1,Assumptions!$X34/12,-(SUMIF($D$2:$EE$2,BI$2-1,$D33:$EE33)/12)*(1+XLOOKUP(BI$2,Assumptions!$C$94:$M$94,Assumptions!$C$98:$M$98))))</f>
        <v>-26189.49978</v>
      </c>
      <c r="BJ33" s="54">
        <f t="array" ref="BJ33">-(IF(BJ$2=1,Assumptions!$X34/12,-(SUMIF($D$2:$EE$2,BJ$2-1,$D33:$EE33)/12)*(1+XLOOKUP(BJ$2,Assumptions!$C$94:$M$94,Assumptions!$C$98:$M$98))))</f>
        <v>-26189.49978</v>
      </c>
      <c r="BK33" s="54">
        <f t="array" ref="BK33">-(IF(BK$2=1,Assumptions!$X34/12,-(SUMIF($D$2:$EE$2,BK$2-1,$D33:$EE33)/12)*(1+XLOOKUP(BK$2,Assumptions!$C$94:$M$94,Assumptions!$C$98:$M$98))))</f>
        <v>-26189.49978</v>
      </c>
      <c r="BL33" s="54">
        <f t="array" ref="BL33">-(IF(BL$2=1,Assumptions!$X34/12,-(SUMIF($D$2:$EE$2,BL$2-1,$D33:$EE33)/12)*(1+XLOOKUP(BL$2,Assumptions!$C$94:$M$94,Assumptions!$C$98:$M$98))))</f>
        <v>-26975.18478</v>
      </c>
      <c r="BM33" s="54">
        <f t="array" ref="BM33">-(IF(BM$2=1,Assumptions!$X34/12,-(SUMIF($D$2:$EE$2,BM$2-1,$D33:$EE33)/12)*(1+XLOOKUP(BM$2,Assumptions!$C$94:$M$94,Assumptions!$C$98:$M$98))))</f>
        <v>-26975.18478</v>
      </c>
      <c r="BN33" s="54">
        <f t="array" ref="BN33">-(IF(BN$2=1,Assumptions!$X34/12,-(SUMIF($D$2:$EE$2,BN$2-1,$D33:$EE33)/12)*(1+XLOOKUP(BN$2,Assumptions!$C$94:$M$94,Assumptions!$C$98:$M$98))))</f>
        <v>-26975.18478</v>
      </c>
      <c r="BO33" s="54">
        <f t="array" ref="BO33">-(IF(BO$2=1,Assumptions!$X34/12,-(SUMIF($D$2:$EE$2,BO$2-1,$D33:$EE33)/12)*(1+XLOOKUP(BO$2,Assumptions!$C$94:$M$94,Assumptions!$C$98:$M$98))))</f>
        <v>-26975.18478</v>
      </c>
      <c r="BP33" s="54">
        <f t="array" ref="BP33">-(IF(BP$2=1,Assumptions!$X34/12,-(SUMIF($D$2:$EE$2,BP$2-1,$D33:$EE33)/12)*(1+XLOOKUP(BP$2,Assumptions!$C$94:$M$94,Assumptions!$C$98:$M$98))))</f>
        <v>-26975.18478</v>
      </c>
      <c r="BQ33" s="54">
        <f t="array" ref="BQ33">-(IF(BQ$2=1,Assumptions!$X34/12,-(SUMIF($D$2:$EE$2,BQ$2-1,$D33:$EE33)/12)*(1+XLOOKUP(BQ$2,Assumptions!$C$94:$M$94,Assumptions!$C$98:$M$98))))</f>
        <v>-26975.18478</v>
      </c>
      <c r="BR33" s="54">
        <f t="array" ref="BR33">-(IF(BR$2=1,Assumptions!$X34/12,-(SUMIF($D$2:$EE$2,BR$2-1,$D33:$EE33)/12)*(1+XLOOKUP(BR$2,Assumptions!$C$94:$M$94,Assumptions!$C$98:$M$98))))</f>
        <v>-26975.18478</v>
      </c>
      <c r="BS33" s="54">
        <f t="array" ref="BS33">-(IF(BS$2=1,Assumptions!$X34/12,-(SUMIF($D$2:$EE$2,BS$2-1,$D33:$EE33)/12)*(1+XLOOKUP(BS$2,Assumptions!$C$94:$M$94,Assumptions!$C$98:$M$98))))</f>
        <v>-26975.18478</v>
      </c>
      <c r="BT33" s="54">
        <f t="array" ref="BT33">-(IF(BT$2=1,Assumptions!$X34/12,-(SUMIF($D$2:$EE$2,BT$2-1,$D33:$EE33)/12)*(1+XLOOKUP(BT$2,Assumptions!$C$94:$M$94,Assumptions!$C$98:$M$98))))</f>
        <v>-26975.18478</v>
      </c>
      <c r="BU33" s="54">
        <f t="array" ref="BU33">-(IF(BU$2=1,Assumptions!$X34/12,-(SUMIF($D$2:$EE$2,BU$2-1,$D33:$EE33)/12)*(1+XLOOKUP(BU$2,Assumptions!$C$94:$M$94,Assumptions!$C$98:$M$98))))</f>
        <v>-26975.18478</v>
      </c>
      <c r="BV33" s="54">
        <f t="array" ref="BV33">-(IF(BV$2=1,Assumptions!$X34/12,-(SUMIF($D$2:$EE$2,BV$2-1,$D33:$EE33)/12)*(1+XLOOKUP(BV$2,Assumptions!$C$94:$M$94,Assumptions!$C$98:$M$98))))</f>
        <v>-26975.18478</v>
      </c>
      <c r="BW33" s="54">
        <f t="array" ref="BW33">-(IF(BW$2=1,Assumptions!$X34/12,-(SUMIF($D$2:$EE$2,BW$2-1,$D33:$EE33)/12)*(1+XLOOKUP(BW$2,Assumptions!$C$94:$M$94,Assumptions!$C$98:$M$98))))</f>
        <v>-26975.18478</v>
      </c>
      <c r="BX33" s="54">
        <f t="array" ref="BX33">-(IF(BX$2=1,Assumptions!$X34/12,-(SUMIF($D$2:$EE$2,BX$2-1,$D33:$EE33)/12)*(1+XLOOKUP(BX$2,Assumptions!$C$94:$M$94,Assumptions!$C$98:$M$98))))</f>
        <v>-27784.44032</v>
      </c>
      <c r="BY33" s="54">
        <f t="array" ref="BY33">-(IF(BY$2=1,Assumptions!$X34/12,-(SUMIF($D$2:$EE$2,BY$2-1,$D33:$EE33)/12)*(1+XLOOKUP(BY$2,Assumptions!$C$94:$M$94,Assumptions!$C$98:$M$98))))</f>
        <v>-27784.44032</v>
      </c>
      <c r="BZ33" s="54">
        <f t="array" ref="BZ33">-(IF(BZ$2=1,Assumptions!$X34/12,-(SUMIF($D$2:$EE$2,BZ$2-1,$D33:$EE33)/12)*(1+XLOOKUP(BZ$2,Assumptions!$C$94:$M$94,Assumptions!$C$98:$M$98))))</f>
        <v>-27784.44032</v>
      </c>
      <c r="CA33" s="54">
        <f t="array" ref="CA33">-(IF(CA$2=1,Assumptions!$X34/12,-(SUMIF($D$2:$EE$2,CA$2-1,$D33:$EE33)/12)*(1+XLOOKUP(CA$2,Assumptions!$C$94:$M$94,Assumptions!$C$98:$M$98))))</f>
        <v>-27784.44032</v>
      </c>
      <c r="CB33" s="54">
        <f t="array" ref="CB33">-(IF(CB$2=1,Assumptions!$X34/12,-(SUMIF($D$2:$EE$2,CB$2-1,$D33:$EE33)/12)*(1+XLOOKUP(CB$2,Assumptions!$C$94:$M$94,Assumptions!$C$98:$M$98))))</f>
        <v>-27784.44032</v>
      </c>
      <c r="CC33" s="54">
        <f t="array" ref="CC33">-(IF(CC$2=1,Assumptions!$X34/12,-(SUMIF($D$2:$EE$2,CC$2-1,$D33:$EE33)/12)*(1+XLOOKUP(CC$2,Assumptions!$C$94:$M$94,Assumptions!$C$98:$M$98))))</f>
        <v>-27784.44032</v>
      </c>
      <c r="CD33" s="54">
        <f t="array" ref="CD33">-(IF(CD$2=1,Assumptions!$X34/12,-(SUMIF($D$2:$EE$2,CD$2-1,$D33:$EE33)/12)*(1+XLOOKUP(CD$2,Assumptions!$C$94:$M$94,Assumptions!$C$98:$M$98))))</f>
        <v>-27784.44032</v>
      </c>
      <c r="CE33" s="54">
        <f t="array" ref="CE33">-(IF(CE$2=1,Assumptions!$X34/12,-(SUMIF($D$2:$EE$2,CE$2-1,$D33:$EE33)/12)*(1+XLOOKUP(CE$2,Assumptions!$C$94:$M$94,Assumptions!$C$98:$M$98))))</f>
        <v>-27784.44032</v>
      </c>
      <c r="CF33" s="54">
        <f t="array" ref="CF33">-(IF(CF$2=1,Assumptions!$X34/12,-(SUMIF($D$2:$EE$2,CF$2-1,$D33:$EE33)/12)*(1+XLOOKUP(CF$2,Assumptions!$C$94:$M$94,Assumptions!$C$98:$M$98))))</f>
        <v>-27784.44032</v>
      </c>
      <c r="CG33" s="54">
        <f t="array" ref="CG33">-(IF(CG$2=1,Assumptions!$X34/12,-(SUMIF($D$2:$EE$2,CG$2-1,$D33:$EE33)/12)*(1+XLOOKUP(CG$2,Assumptions!$C$94:$M$94,Assumptions!$C$98:$M$98))))</f>
        <v>-27784.44032</v>
      </c>
      <c r="CH33" s="54">
        <f t="array" ref="CH33">-(IF(CH$2=1,Assumptions!$X34/12,-(SUMIF($D$2:$EE$2,CH$2-1,$D33:$EE33)/12)*(1+XLOOKUP(CH$2,Assumptions!$C$94:$M$94,Assumptions!$C$98:$M$98))))</f>
        <v>-27784.44032</v>
      </c>
      <c r="CI33" s="54">
        <f t="array" ref="CI33">-(IF(CI$2=1,Assumptions!$X34/12,-(SUMIF($D$2:$EE$2,CI$2-1,$D33:$EE33)/12)*(1+XLOOKUP(CI$2,Assumptions!$C$94:$M$94,Assumptions!$C$98:$M$98))))</f>
        <v>-27784.44032</v>
      </c>
      <c r="CJ33" s="54">
        <f t="array" ref="CJ33">-(IF(CJ$2=1,Assumptions!$X34/12,-(SUMIF($D$2:$EE$2,CJ$2-1,$D33:$EE33)/12)*(1+XLOOKUP(CJ$2,Assumptions!$C$94:$M$94,Assumptions!$C$98:$M$98))))</f>
        <v>-28617.97353</v>
      </c>
      <c r="CK33" s="54">
        <f t="array" ref="CK33">-(IF(CK$2=1,Assumptions!$X34/12,-(SUMIF($D$2:$EE$2,CK$2-1,$D33:$EE33)/12)*(1+XLOOKUP(CK$2,Assumptions!$C$94:$M$94,Assumptions!$C$98:$M$98))))</f>
        <v>-28617.97353</v>
      </c>
      <c r="CL33" s="54">
        <f t="array" ref="CL33">-(IF(CL$2=1,Assumptions!$X34/12,-(SUMIF($D$2:$EE$2,CL$2-1,$D33:$EE33)/12)*(1+XLOOKUP(CL$2,Assumptions!$C$94:$M$94,Assumptions!$C$98:$M$98))))</f>
        <v>-28617.97353</v>
      </c>
      <c r="CM33" s="54">
        <f t="array" ref="CM33">-(IF(CM$2=1,Assumptions!$X34/12,-(SUMIF($D$2:$EE$2,CM$2-1,$D33:$EE33)/12)*(1+XLOOKUP(CM$2,Assumptions!$C$94:$M$94,Assumptions!$C$98:$M$98))))</f>
        <v>-28617.97353</v>
      </c>
      <c r="CN33" s="54">
        <f t="array" ref="CN33">-(IF(CN$2=1,Assumptions!$X34/12,-(SUMIF($D$2:$EE$2,CN$2-1,$D33:$EE33)/12)*(1+XLOOKUP(CN$2,Assumptions!$C$94:$M$94,Assumptions!$C$98:$M$98))))</f>
        <v>-28617.97353</v>
      </c>
      <c r="CO33" s="54">
        <f t="array" ref="CO33">-(IF(CO$2=1,Assumptions!$X34/12,-(SUMIF($D$2:$EE$2,CO$2-1,$D33:$EE33)/12)*(1+XLOOKUP(CO$2,Assumptions!$C$94:$M$94,Assumptions!$C$98:$M$98))))</f>
        <v>-28617.97353</v>
      </c>
      <c r="CP33" s="54">
        <f t="array" ref="CP33">-(IF(CP$2=1,Assumptions!$X34/12,-(SUMIF($D$2:$EE$2,CP$2-1,$D33:$EE33)/12)*(1+XLOOKUP(CP$2,Assumptions!$C$94:$M$94,Assumptions!$C$98:$M$98))))</f>
        <v>-28617.97353</v>
      </c>
      <c r="CQ33" s="54">
        <f t="array" ref="CQ33">-(IF(CQ$2=1,Assumptions!$X34/12,-(SUMIF($D$2:$EE$2,CQ$2-1,$D33:$EE33)/12)*(1+XLOOKUP(CQ$2,Assumptions!$C$94:$M$94,Assumptions!$C$98:$M$98))))</f>
        <v>-28617.97353</v>
      </c>
      <c r="CR33" s="54">
        <f t="array" ref="CR33">-(IF(CR$2=1,Assumptions!$X34/12,-(SUMIF($D$2:$EE$2,CR$2-1,$D33:$EE33)/12)*(1+XLOOKUP(CR$2,Assumptions!$C$94:$M$94,Assumptions!$C$98:$M$98))))</f>
        <v>-28617.97353</v>
      </c>
      <c r="CS33" s="54">
        <f t="array" ref="CS33">-(IF(CS$2=1,Assumptions!$X34/12,-(SUMIF($D$2:$EE$2,CS$2-1,$D33:$EE33)/12)*(1+XLOOKUP(CS$2,Assumptions!$C$94:$M$94,Assumptions!$C$98:$M$98))))</f>
        <v>-28617.97353</v>
      </c>
      <c r="CT33" s="54">
        <f t="array" ref="CT33">-(IF(CT$2=1,Assumptions!$X34/12,-(SUMIF($D$2:$EE$2,CT$2-1,$D33:$EE33)/12)*(1+XLOOKUP(CT$2,Assumptions!$C$94:$M$94,Assumptions!$C$98:$M$98))))</f>
        <v>-28617.97353</v>
      </c>
      <c r="CU33" s="54">
        <f t="array" ref="CU33">-(IF(CU$2=1,Assumptions!$X34/12,-(SUMIF($D$2:$EE$2,CU$2-1,$D33:$EE33)/12)*(1+XLOOKUP(CU$2,Assumptions!$C$94:$M$94,Assumptions!$C$98:$M$98))))</f>
        <v>-28617.97353</v>
      </c>
      <c r="CV33" s="54">
        <f t="array" ref="CV33">-(IF(CV$2=1,Assumptions!$X34/12,-(SUMIF($D$2:$EE$2,CV$2-1,$D33:$EE33)/12)*(1+XLOOKUP(CV$2,Assumptions!$C$94:$M$94,Assumptions!$C$98:$M$98))))</f>
        <v>-29476.51274</v>
      </c>
      <c r="CW33" s="54">
        <f t="array" ref="CW33">-(IF(CW$2=1,Assumptions!$X34/12,-(SUMIF($D$2:$EE$2,CW$2-1,$D33:$EE33)/12)*(1+XLOOKUP(CW$2,Assumptions!$C$94:$M$94,Assumptions!$C$98:$M$98))))</f>
        <v>-29476.51274</v>
      </c>
      <c r="CX33" s="54">
        <f t="array" ref="CX33">-(IF(CX$2=1,Assumptions!$X34/12,-(SUMIF($D$2:$EE$2,CX$2-1,$D33:$EE33)/12)*(1+XLOOKUP(CX$2,Assumptions!$C$94:$M$94,Assumptions!$C$98:$M$98))))</f>
        <v>-29476.51274</v>
      </c>
      <c r="CY33" s="54">
        <f t="array" ref="CY33">-(IF(CY$2=1,Assumptions!$X34/12,-(SUMIF($D$2:$EE$2,CY$2-1,$D33:$EE33)/12)*(1+XLOOKUP(CY$2,Assumptions!$C$94:$M$94,Assumptions!$C$98:$M$98))))</f>
        <v>-29476.51274</v>
      </c>
      <c r="CZ33" s="54">
        <f t="array" ref="CZ33">-(IF(CZ$2=1,Assumptions!$X34/12,-(SUMIF($D$2:$EE$2,CZ$2-1,$D33:$EE33)/12)*(1+XLOOKUP(CZ$2,Assumptions!$C$94:$M$94,Assumptions!$C$98:$M$98))))</f>
        <v>-29476.51274</v>
      </c>
      <c r="DA33" s="54">
        <f t="array" ref="DA33">-(IF(DA$2=1,Assumptions!$X34/12,-(SUMIF($D$2:$EE$2,DA$2-1,$D33:$EE33)/12)*(1+XLOOKUP(DA$2,Assumptions!$C$94:$M$94,Assumptions!$C$98:$M$98))))</f>
        <v>-29476.51274</v>
      </c>
      <c r="DB33" s="54">
        <f t="array" ref="DB33">-(IF(DB$2=1,Assumptions!$X34/12,-(SUMIF($D$2:$EE$2,DB$2-1,$D33:$EE33)/12)*(1+XLOOKUP(DB$2,Assumptions!$C$94:$M$94,Assumptions!$C$98:$M$98))))</f>
        <v>-29476.51274</v>
      </c>
      <c r="DC33" s="54">
        <f t="array" ref="DC33">-(IF(DC$2=1,Assumptions!$X34/12,-(SUMIF($D$2:$EE$2,DC$2-1,$D33:$EE33)/12)*(1+XLOOKUP(DC$2,Assumptions!$C$94:$M$94,Assumptions!$C$98:$M$98))))</f>
        <v>-29476.51274</v>
      </c>
      <c r="DD33" s="54">
        <f t="array" ref="DD33">-(IF(DD$2=1,Assumptions!$X34/12,-(SUMIF($D$2:$EE$2,DD$2-1,$D33:$EE33)/12)*(1+XLOOKUP(DD$2,Assumptions!$C$94:$M$94,Assumptions!$C$98:$M$98))))</f>
        <v>-29476.51274</v>
      </c>
      <c r="DE33" s="54">
        <f t="array" ref="DE33">-(IF(DE$2=1,Assumptions!$X34/12,-(SUMIF($D$2:$EE$2,DE$2-1,$D33:$EE33)/12)*(1+XLOOKUP(DE$2,Assumptions!$C$94:$M$94,Assumptions!$C$98:$M$98))))</f>
        <v>-29476.51274</v>
      </c>
      <c r="DF33" s="54">
        <f t="array" ref="DF33">-(IF(DF$2=1,Assumptions!$X34/12,-(SUMIF($D$2:$EE$2,DF$2-1,$D33:$EE33)/12)*(1+XLOOKUP(DF$2,Assumptions!$C$94:$M$94,Assumptions!$C$98:$M$98))))</f>
        <v>-29476.51274</v>
      </c>
      <c r="DG33" s="54">
        <f t="array" ref="DG33">-(IF(DG$2=1,Assumptions!$X34/12,-(SUMIF($D$2:$EE$2,DG$2-1,$D33:$EE33)/12)*(1+XLOOKUP(DG$2,Assumptions!$C$94:$M$94,Assumptions!$C$98:$M$98))))</f>
        <v>-29476.51274</v>
      </c>
      <c r="DH33" s="54">
        <f t="array" ref="DH33">-(IF(DH$2=1,Assumptions!$X34/12,-(SUMIF($D$2:$EE$2,DH$2-1,$D33:$EE33)/12)*(1+XLOOKUP(DH$2,Assumptions!$C$94:$M$94,Assumptions!$C$98:$M$98))))</f>
        <v>-30360.80812</v>
      </c>
      <c r="DI33" s="54">
        <f t="array" ref="DI33">-(IF(DI$2=1,Assumptions!$X34/12,-(SUMIF($D$2:$EE$2,DI$2-1,$D33:$EE33)/12)*(1+XLOOKUP(DI$2,Assumptions!$C$94:$M$94,Assumptions!$C$98:$M$98))))</f>
        <v>-30360.80812</v>
      </c>
      <c r="DJ33" s="54">
        <f t="array" ref="DJ33">-(IF(DJ$2=1,Assumptions!$X34/12,-(SUMIF($D$2:$EE$2,DJ$2-1,$D33:$EE33)/12)*(1+XLOOKUP(DJ$2,Assumptions!$C$94:$M$94,Assumptions!$C$98:$M$98))))</f>
        <v>-30360.80812</v>
      </c>
      <c r="DK33" s="54">
        <f t="array" ref="DK33">-(IF(DK$2=1,Assumptions!$X34/12,-(SUMIF($D$2:$EE$2,DK$2-1,$D33:$EE33)/12)*(1+XLOOKUP(DK$2,Assumptions!$C$94:$M$94,Assumptions!$C$98:$M$98))))</f>
        <v>-30360.80812</v>
      </c>
      <c r="DL33" s="54">
        <f t="array" ref="DL33">-(IF(DL$2=1,Assumptions!$X34/12,-(SUMIF($D$2:$EE$2,DL$2-1,$D33:$EE33)/12)*(1+XLOOKUP(DL$2,Assumptions!$C$94:$M$94,Assumptions!$C$98:$M$98))))</f>
        <v>-30360.80812</v>
      </c>
      <c r="DM33" s="54">
        <f t="array" ref="DM33">-(IF(DM$2=1,Assumptions!$X34/12,-(SUMIF($D$2:$EE$2,DM$2-1,$D33:$EE33)/12)*(1+XLOOKUP(DM$2,Assumptions!$C$94:$M$94,Assumptions!$C$98:$M$98))))</f>
        <v>-30360.80812</v>
      </c>
      <c r="DN33" s="54">
        <f t="array" ref="DN33">-(IF(DN$2=1,Assumptions!$X34/12,-(SUMIF($D$2:$EE$2,DN$2-1,$D33:$EE33)/12)*(1+XLOOKUP(DN$2,Assumptions!$C$94:$M$94,Assumptions!$C$98:$M$98))))</f>
        <v>-30360.80812</v>
      </c>
      <c r="DO33" s="54">
        <f t="array" ref="DO33">-(IF(DO$2=1,Assumptions!$X34/12,-(SUMIF($D$2:$EE$2,DO$2-1,$D33:$EE33)/12)*(1+XLOOKUP(DO$2,Assumptions!$C$94:$M$94,Assumptions!$C$98:$M$98))))</f>
        <v>-30360.80812</v>
      </c>
      <c r="DP33" s="54">
        <f t="array" ref="DP33">-(IF(DP$2=1,Assumptions!$X34/12,-(SUMIF($D$2:$EE$2,DP$2-1,$D33:$EE33)/12)*(1+XLOOKUP(DP$2,Assumptions!$C$94:$M$94,Assumptions!$C$98:$M$98))))</f>
        <v>-30360.80812</v>
      </c>
      <c r="DQ33" s="54">
        <f t="array" ref="DQ33">-(IF(DQ$2=1,Assumptions!$X34/12,-(SUMIF($D$2:$EE$2,DQ$2-1,$D33:$EE33)/12)*(1+XLOOKUP(DQ$2,Assumptions!$C$94:$M$94,Assumptions!$C$98:$M$98))))</f>
        <v>-30360.80812</v>
      </c>
      <c r="DR33" s="54">
        <f t="array" ref="DR33">-(IF(DR$2=1,Assumptions!$X34/12,-(SUMIF($D$2:$EE$2,DR$2-1,$D33:$EE33)/12)*(1+XLOOKUP(DR$2,Assumptions!$C$94:$M$94,Assumptions!$C$98:$M$98))))</f>
        <v>-30360.80812</v>
      </c>
      <c r="DS33" s="54">
        <f t="array" ref="DS33">-(IF(DS$2=1,Assumptions!$X34/12,-(SUMIF($D$2:$EE$2,DS$2-1,$D33:$EE33)/12)*(1+XLOOKUP(DS$2,Assumptions!$C$94:$M$94,Assumptions!$C$98:$M$98))))</f>
        <v>-30360.80812</v>
      </c>
      <c r="DT33" s="54">
        <f t="array" ref="DT33">-(IF(DT$2=1,Assumptions!$X34/12,-(SUMIF($D$2:$EE$2,DT$2-1,$D33:$EE33)/12)*(1+XLOOKUP(DT$2,Assumptions!$C$94:$M$94,Assumptions!$C$98:$M$98))))</f>
        <v>-31271.63236</v>
      </c>
      <c r="DU33" s="54">
        <f t="array" ref="DU33">-(IF(DU$2=1,Assumptions!$X34/12,-(SUMIF($D$2:$EE$2,DU$2-1,$D33:$EE33)/12)*(1+XLOOKUP(DU$2,Assumptions!$C$94:$M$94,Assumptions!$C$98:$M$98))))</f>
        <v>-31271.63236</v>
      </c>
      <c r="DV33" s="54">
        <f t="array" ref="DV33">-(IF(DV$2=1,Assumptions!$X34/12,-(SUMIF($D$2:$EE$2,DV$2-1,$D33:$EE33)/12)*(1+XLOOKUP(DV$2,Assumptions!$C$94:$M$94,Assumptions!$C$98:$M$98))))</f>
        <v>-31271.63236</v>
      </c>
      <c r="DW33" s="54">
        <f t="array" ref="DW33">-(IF(DW$2=1,Assumptions!$X34/12,-(SUMIF($D$2:$EE$2,DW$2-1,$D33:$EE33)/12)*(1+XLOOKUP(DW$2,Assumptions!$C$94:$M$94,Assumptions!$C$98:$M$98))))</f>
        <v>-31271.63236</v>
      </c>
      <c r="DX33" s="54">
        <f t="array" ref="DX33">-(IF(DX$2=1,Assumptions!$X34/12,-(SUMIF($D$2:$EE$2,DX$2-1,$D33:$EE33)/12)*(1+XLOOKUP(DX$2,Assumptions!$C$94:$M$94,Assumptions!$C$98:$M$98))))</f>
        <v>-31271.63236</v>
      </c>
      <c r="DY33" s="54">
        <f t="array" ref="DY33">-(IF(DY$2=1,Assumptions!$X34/12,-(SUMIF($D$2:$EE$2,DY$2-1,$D33:$EE33)/12)*(1+XLOOKUP(DY$2,Assumptions!$C$94:$M$94,Assumptions!$C$98:$M$98))))</f>
        <v>-31271.63236</v>
      </c>
      <c r="DZ33" s="54">
        <f t="array" ref="DZ33">-(IF(DZ$2=1,Assumptions!$X34/12,-(SUMIF($D$2:$EE$2,DZ$2-1,$D33:$EE33)/12)*(1+XLOOKUP(DZ$2,Assumptions!$C$94:$M$94,Assumptions!$C$98:$M$98))))</f>
        <v>-31271.63236</v>
      </c>
      <c r="EA33" s="54">
        <f t="array" ref="EA33">-(IF(EA$2=1,Assumptions!$X34/12,-(SUMIF($D$2:$EE$2,EA$2-1,$D33:$EE33)/12)*(1+XLOOKUP(EA$2,Assumptions!$C$94:$M$94,Assumptions!$C$98:$M$98))))</f>
        <v>-31271.63236</v>
      </c>
      <c r="EB33" s="54">
        <f t="array" ref="EB33">-(IF(EB$2=1,Assumptions!$X34/12,-(SUMIF($D$2:$EE$2,EB$2-1,$D33:$EE33)/12)*(1+XLOOKUP(EB$2,Assumptions!$C$94:$M$94,Assumptions!$C$98:$M$98))))</f>
        <v>-31271.63236</v>
      </c>
      <c r="EC33" s="54">
        <f t="array" ref="EC33">-(IF(EC$2=1,Assumptions!$X34/12,-(SUMIF($D$2:$EE$2,EC$2-1,$D33:$EE33)/12)*(1+XLOOKUP(EC$2,Assumptions!$C$94:$M$94,Assumptions!$C$98:$M$98))))</f>
        <v>-31271.63236</v>
      </c>
      <c r="ED33" s="54">
        <f t="array" ref="ED33">-(IF(ED$2=1,Assumptions!$X34/12,-(SUMIF($D$2:$EE$2,ED$2-1,$D33:$EE33)/12)*(1+XLOOKUP(ED$2,Assumptions!$C$94:$M$94,Assumptions!$C$98:$M$98))))</f>
        <v>-31271.63236</v>
      </c>
      <c r="EE33" s="54">
        <f t="array" ref="EE33">-(IF(EE$2=1,Assumptions!$X34/12,-(SUMIF($D$2:$EE$2,EE$2-1,$D33:$EE33)/12)*(1+XLOOKUP(EE$2,Assumptions!$C$94:$M$94,Assumptions!$C$98:$M$98))))</f>
        <v>-31271.63236</v>
      </c>
    </row>
    <row r="34" ht="15.75" customHeight="1">
      <c r="A34" s="1"/>
      <c r="B34" s="1"/>
      <c r="C34" s="1" t="str">
        <f>Assumptions!J35</f>
        <v>Insurance</v>
      </c>
      <c r="D34" s="54">
        <f t="array" ref="D34">-(IF(D$2=1,Assumptions!$X35/12,-(SUMIF($D$2:$EE$2,D$2-1,$D34:$EE34)/12)*(1+XLOOKUP(D$2,Assumptions!$C$94:$M$94,Assumptions!$C$98:$M$98))))</f>
        <v>-4743.671867</v>
      </c>
      <c r="E34" s="54">
        <f t="array" ref="E34">-(IF(E$2=1,Assumptions!$X35/12,-(SUMIF($D$2:$EE$2,E$2-1,$D34:$EE34)/12)*(1+XLOOKUP(E$2,Assumptions!$C$94:$M$94,Assumptions!$C$98:$M$98))))</f>
        <v>-4743.671867</v>
      </c>
      <c r="F34" s="54">
        <f t="array" ref="F34">-(IF(F$2=1,Assumptions!$X35/12,-(SUMIF($D$2:$EE$2,F$2-1,$D34:$EE34)/12)*(1+XLOOKUP(F$2,Assumptions!$C$94:$M$94,Assumptions!$C$98:$M$98))))</f>
        <v>-4743.671867</v>
      </c>
      <c r="G34" s="54">
        <f t="array" ref="G34">-(IF(G$2=1,Assumptions!$X35/12,-(SUMIF($D$2:$EE$2,G$2-1,$D34:$EE34)/12)*(1+XLOOKUP(G$2,Assumptions!$C$94:$M$94,Assumptions!$C$98:$M$98))))</f>
        <v>-4743.671867</v>
      </c>
      <c r="H34" s="54">
        <f t="array" ref="H34">-(IF(H$2=1,Assumptions!$X35/12,-(SUMIF($D$2:$EE$2,H$2-1,$D34:$EE34)/12)*(1+XLOOKUP(H$2,Assumptions!$C$94:$M$94,Assumptions!$C$98:$M$98))))</f>
        <v>-4743.671867</v>
      </c>
      <c r="I34" s="54">
        <f t="array" ref="I34">-(IF(I$2=1,Assumptions!$X35/12,-(SUMIF($D$2:$EE$2,I$2-1,$D34:$EE34)/12)*(1+XLOOKUP(I$2,Assumptions!$C$94:$M$94,Assumptions!$C$98:$M$98))))</f>
        <v>-4743.671867</v>
      </c>
      <c r="J34" s="54">
        <f t="array" ref="J34">-(IF(J$2=1,Assumptions!$X35/12,-(SUMIF($D$2:$EE$2,J$2-1,$D34:$EE34)/12)*(1+XLOOKUP(J$2,Assumptions!$C$94:$M$94,Assumptions!$C$98:$M$98))))</f>
        <v>-4743.671867</v>
      </c>
      <c r="K34" s="54">
        <f t="array" ref="K34">-(IF(K$2=1,Assumptions!$X35/12,-(SUMIF($D$2:$EE$2,K$2-1,$D34:$EE34)/12)*(1+XLOOKUP(K$2,Assumptions!$C$94:$M$94,Assumptions!$C$98:$M$98))))</f>
        <v>-4743.671867</v>
      </c>
      <c r="L34" s="54">
        <f t="array" ref="L34">-(IF(L$2=1,Assumptions!$X35/12,-(SUMIF($D$2:$EE$2,L$2-1,$D34:$EE34)/12)*(1+XLOOKUP(L$2,Assumptions!$C$94:$M$94,Assumptions!$C$98:$M$98))))</f>
        <v>-4743.671867</v>
      </c>
      <c r="M34" s="54">
        <f t="array" ref="M34">-(IF(M$2=1,Assumptions!$X35/12,-(SUMIF($D$2:$EE$2,M$2-1,$D34:$EE34)/12)*(1+XLOOKUP(M$2,Assumptions!$C$94:$M$94,Assumptions!$C$98:$M$98))))</f>
        <v>-4743.671867</v>
      </c>
      <c r="N34" s="54">
        <f t="array" ref="N34">-(IF(N$2=1,Assumptions!$X35/12,-(SUMIF($D$2:$EE$2,N$2-1,$D34:$EE34)/12)*(1+XLOOKUP(N$2,Assumptions!$C$94:$M$94,Assumptions!$C$98:$M$98))))</f>
        <v>-4743.671867</v>
      </c>
      <c r="O34" s="54">
        <f t="array" ref="O34">-(IF(O$2=1,Assumptions!$X35/12,-(SUMIF($D$2:$EE$2,O$2-1,$D34:$EE34)/12)*(1+XLOOKUP(O$2,Assumptions!$C$94:$M$94,Assumptions!$C$98:$M$98))))</f>
        <v>-4743.671867</v>
      </c>
      <c r="P34" s="54">
        <f t="array" ref="P34">-(IF(P$2=1,Assumptions!$X35/12,-(SUMIF($D$2:$EE$2,P$2-1,$D34:$EE34)/12)*(1+XLOOKUP(P$2,Assumptions!$C$94:$M$94,Assumptions!$C$98:$M$98))))</f>
        <v>-4885.982023</v>
      </c>
      <c r="Q34" s="54">
        <f t="array" ref="Q34">-(IF(Q$2=1,Assumptions!$X35/12,-(SUMIF($D$2:$EE$2,Q$2-1,$D34:$EE34)/12)*(1+XLOOKUP(Q$2,Assumptions!$C$94:$M$94,Assumptions!$C$98:$M$98))))</f>
        <v>-4885.982023</v>
      </c>
      <c r="R34" s="54">
        <f t="array" ref="R34">-(IF(R$2=1,Assumptions!$X35/12,-(SUMIF($D$2:$EE$2,R$2-1,$D34:$EE34)/12)*(1+XLOOKUP(R$2,Assumptions!$C$94:$M$94,Assumptions!$C$98:$M$98))))</f>
        <v>-4885.982023</v>
      </c>
      <c r="S34" s="54">
        <f t="array" ref="S34">-(IF(S$2=1,Assumptions!$X35/12,-(SUMIF($D$2:$EE$2,S$2-1,$D34:$EE34)/12)*(1+XLOOKUP(S$2,Assumptions!$C$94:$M$94,Assumptions!$C$98:$M$98))))</f>
        <v>-4885.982023</v>
      </c>
      <c r="T34" s="54">
        <f t="array" ref="T34">-(IF(T$2=1,Assumptions!$X35/12,-(SUMIF($D$2:$EE$2,T$2-1,$D34:$EE34)/12)*(1+XLOOKUP(T$2,Assumptions!$C$94:$M$94,Assumptions!$C$98:$M$98))))</f>
        <v>-4885.982023</v>
      </c>
      <c r="U34" s="54">
        <f t="array" ref="U34">-(IF(U$2=1,Assumptions!$X35/12,-(SUMIF($D$2:$EE$2,U$2-1,$D34:$EE34)/12)*(1+XLOOKUP(U$2,Assumptions!$C$94:$M$94,Assumptions!$C$98:$M$98))))</f>
        <v>-4885.982023</v>
      </c>
      <c r="V34" s="54">
        <f t="array" ref="V34">-(IF(V$2=1,Assumptions!$X35/12,-(SUMIF($D$2:$EE$2,V$2-1,$D34:$EE34)/12)*(1+XLOOKUP(V$2,Assumptions!$C$94:$M$94,Assumptions!$C$98:$M$98))))</f>
        <v>-4885.982023</v>
      </c>
      <c r="W34" s="54">
        <f t="array" ref="W34">-(IF(W$2=1,Assumptions!$X35/12,-(SUMIF($D$2:$EE$2,W$2-1,$D34:$EE34)/12)*(1+XLOOKUP(W$2,Assumptions!$C$94:$M$94,Assumptions!$C$98:$M$98))))</f>
        <v>-4885.982023</v>
      </c>
      <c r="X34" s="54">
        <f t="array" ref="X34">-(IF(X$2=1,Assumptions!$X35/12,-(SUMIF($D$2:$EE$2,X$2-1,$D34:$EE34)/12)*(1+XLOOKUP(X$2,Assumptions!$C$94:$M$94,Assumptions!$C$98:$M$98))))</f>
        <v>-4885.982023</v>
      </c>
      <c r="Y34" s="54">
        <f t="array" ref="Y34">-(IF(Y$2=1,Assumptions!$X35/12,-(SUMIF($D$2:$EE$2,Y$2-1,$D34:$EE34)/12)*(1+XLOOKUP(Y$2,Assumptions!$C$94:$M$94,Assumptions!$C$98:$M$98))))</f>
        <v>-4885.982023</v>
      </c>
      <c r="Z34" s="54">
        <f t="array" ref="Z34">-(IF(Z$2=1,Assumptions!$X35/12,-(SUMIF($D$2:$EE$2,Z$2-1,$D34:$EE34)/12)*(1+XLOOKUP(Z$2,Assumptions!$C$94:$M$94,Assumptions!$C$98:$M$98))))</f>
        <v>-4885.982023</v>
      </c>
      <c r="AA34" s="54">
        <f t="array" ref="AA34">-(IF(AA$2=1,Assumptions!$X35/12,-(SUMIF($D$2:$EE$2,AA$2-1,$D34:$EE34)/12)*(1+XLOOKUP(AA$2,Assumptions!$C$94:$M$94,Assumptions!$C$98:$M$98))))</f>
        <v>-4885.982023</v>
      </c>
      <c r="AB34" s="54">
        <f t="array" ref="AB34">-(IF(AB$2=1,Assumptions!$X35/12,-(SUMIF($D$2:$EE$2,AB$2-1,$D34:$EE34)/12)*(1+XLOOKUP(AB$2,Assumptions!$C$94:$M$94,Assumptions!$C$98:$M$98))))</f>
        <v>-5032.561483</v>
      </c>
      <c r="AC34" s="54">
        <f t="array" ref="AC34">-(IF(AC$2=1,Assumptions!$X35/12,-(SUMIF($D$2:$EE$2,AC$2-1,$D34:$EE34)/12)*(1+XLOOKUP(AC$2,Assumptions!$C$94:$M$94,Assumptions!$C$98:$M$98))))</f>
        <v>-5032.561483</v>
      </c>
      <c r="AD34" s="54">
        <f t="array" ref="AD34">-(IF(AD$2=1,Assumptions!$X35/12,-(SUMIF($D$2:$EE$2,AD$2-1,$D34:$EE34)/12)*(1+XLOOKUP(AD$2,Assumptions!$C$94:$M$94,Assumptions!$C$98:$M$98))))</f>
        <v>-5032.561483</v>
      </c>
      <c r="AE34" s="54">
        <f t="array" ref="AE34">-(IF(AE$2=1,Assumptions!$X35/12,-(SUMIF($D$2:$EE$2,AE$2-1,$D34:$EE34)/12)*(1+XLOOKUP(AE$2,Assumptions!$C$94:$M$94,Assumptions!$C$98:$M$98))))</f>
        <v>-5032.561483</v>
      </c>
      <c r="AF34" s="54">
        <f t="array" ref="AF34">-(IF(AF$2=1,Assumptions!$X35/12,-(SUMIF($D$2:$EE$2,AF$2-1,$D34:$EE34)/12)*(1+XLOOKUP(AF$2,Assumptions!$C$94:$M$94,Assumptions!$C$98:$M$98))))</f>
        <v>-5032.561483</v>
      </c>
      <c r="AG34" s="54">
        <f t="array" ref="AG34">-(IF(AG$2=1,Assumptions!$X35/12,-(SUMIF($D$2:$EE$2,AG$2-1,$D34:$EE34)/12)*(1+XLOOKUP(AG$2,Assumptions!$C$94:$M$94,Assumptions!$C$98:$M$98))))</f>
        <v>-5032.561483</v>
      </c>
      <c r="AH34" s="54">
        <f t="array" ref="AH34">-(IF(AH$2=1,Assumptions!$X35/12,-(SUMIF($D$2:$EE$2,AH$2-1,$D34:$EE34)/12)*(1+XLOOKUP(AH$2,Assumptions!$C$94:$M$94,Assumptions!$C$98:$M$98))))</f>
        <v>-5032.561483</v>
      </c>
      <c r="AI34" s="54">
        <f t="array" ref="AI34">-(IF(AI$2=1,Assumptions!$X35/12,-(SUMIF($D$2:$EE$2,AI$2-1,$D34:$EE34)/12)*(1+XLOOKUP(AI$2,Assumptions!$C$94:$M$94,Assumptions!$C$98:$M$98))))</f>
        <v>-5032.561483</v>
      </c>
      <c r="AJ34" s="54">
        <f t="array" ref="AJ34">-(IF(AJ$2=1,Assumptions!$X35/12,-(SUMIF($D$2:$EE$2,AJ$2-1,$D34:$EE34)/12)*(1+XLOOKUP(AJ$2,Assumptions!$C$94:$M$94,Assumptions!$C$98:$M$98))))</f>
        <v>-5032.561483</v>
      </c>
      <c r="AK34" s="54">
        <f t="array" ref="AK34">-(IF(AK$2=1,Assumptions!$X35/12,-(SUMIF($D$2:$EE$2,AK$2-1,$D34:$EE34)/12)*(1+XLOOKUP(AK$2,Assumptions!$C$94:$M$94,Assumptions!$C$98:$M$98))))</f>
        <v>-5032.561483</v>
      </c>
      <c r="AL34" s="54">
        <f t="array" ref="AL34">-(IF(AL$2=1,Assumptions!$X35/12,-(SUMIF($D$2:$EE$2,AL$2-1,$D34:$EE34)/12)*(1+XLOOKUP(AL$2,Assumptions!$C$94:$M$94,Assumptions!$C$98:$M$98))))</f>
        <v>-5032.561483</v>
      </c>
      <c r="AM34" s="54">
        <f t="array" ref="AM34">-(IF(AM$2=1,Assumptions!$X35/12,-(SUMIF($D$2:$EE$2,AM$2-1,$D34:$EE34)/12)*(1+XLOOKUP(AM$2,Assumptions!$C$94:$M$94,Assumptions!$C$98:$M$98))))</f>
        <v>-5032.561483</v>
      </c>
      <c r="AN34" s="54">
        <f t="array" ref="AN34">-(IF(AN$2=1,Assumptions!$X35/12,-(SUMIF($D$2:$EE$2,AN$2-1,$D34:$EE34)/12)*(1+XLOOKUP(AN$2,Assumptions!$C$94:$M$94,Assumptions!$C$98:$M$98))))</f>
        <v>-5183.538328</v>
      </c>
      <c r="AO34" s="54">
        <f t="array" ref="AO34">-(IF(AO$2=1,Assumptions!$X35/12,-(SUMIF($D$2:$EE$2,AO$2-1,$D34:$EE34)/12)*(1+XLOOKUP(AO$2,Assumptions!$C$94:$M$94,Assumptions!$C$98:$M$98))))</f>
        <v>-5183.538328</v>
      </c>
      <c r="AP34" s="54">
        <f t="array" ref="AP34">-(IF(AP$2=1,Assumptions!$X35/12,-(SUMIF($D$2:$EE$2,AP$2-1,$D34:$EE34)/12)*(1+XLOOKUP(AP$2,Assumptions!$C$94:$M$94,Assumptions!$C$98:$M$98))))</f>
        <v>-5183.538328</v>
      </c>
      <c r="AQ34" s="54">
        <f t="array" ref="AQ34">-(IF(AQ$2=1,Assumptions!$X35/12,-(SUMIF($D$2:$EE$2,AQ$2-1,$D34:$EE34)/12)*(1+XLOOKUP(AQ$2,Assumptions!$C$94:$M$94,Assumptions!$C$98:$M$98))))</f>
        <v>-5183.538328</v>
      </c>
      <c r="AR34" s="54">
        <f t="array" ref="AR34">-(IF(AR$2=1,Assumptions!$X35/12,-(SUMIF($D$2:$EE$2,AR$2-1,$D34:$EE34)/12)*(1+XLOOKUP(AR$2,Assumptions!$C$94:$M$94,Assumptions!$C$98:$M$98))))</f>
        <v>-5183.538328</v>
      </c>
      <c r="AS34" s="54">
        <f t="array" ref="AS34">-(IF(AS$2=1,Assumptions!$X35/12,-(SUMIF($D$2:$EE$2,AS$2-1,$D34:$EE34)/12)*(1+XLOOKUP(AS$2,Assumptions!$C$94:$M$94,Assumptions!$C$98:$M$98))))</f>
        <v>-5183.538328</v>
      </c>
      <c r="AT34" s="54">
        <f t="array" ref="AT34">-(IF(AT$2=1,Assumptions!$X35/12,-(SUMIF($D$2:$EE$2,AT$2-1,$D34:$EE34)/12)*(1+XLOOKUP(AT$2,Assumptions!$C$94:$M$94,Assumptions!$C$98:$M$98))))</f>
        <v>-5183.538328</v>
      </c>
      <c r="AU34" s="54">
        <f t="array" ref="AU34">-(IF(AU$2=1,Assumptions!$X35/12,-(SUMIF($D$2:$EE$2,AU$2-1,$D34:$EE34)/12)*(1+XLOOKUP(AU$2,Assumptions!$C$94:$M$94,Assumptions!$C$98:$M$98))))</f>
        <v>-5183.538328</v>
      </c>
      <c r="AV34" s="54">
        <f t="array" ref="AV34">-(IF(AV$2=1,Assumptions!$X35/12,-(SUMIF($D$2:$EE$2,AV$2-1,$D34:$EE34)/12)*(1+XLOOKUP(AV$2,Assumptions!$C$94:$M$94,Assumptions!$C$98:$M$98))))</f>
        <v>-5183.538328</v>
      </c>
      <c r="AW34" s="54">
        <f t="array" ref="AW34">-(IF(AW$2=1,Assumptions!$X35/12,-(SUMIF($D$2:$EE$2,AW$2-1,$D34:$EE34)/12)*(1+XLOOKUP(AW$2,Assumptions!$C$94:$M$94,Assumptions!$C$98:$M$98))))</f>
        <v>-5183.538328</v>
      </c>
      <c r="AX34" s="54">
        <f t="array" ref="AX34">-(IF(AX$2=1,Assumptions!$X35/12,-(SUMIF($D$2:$EE$2,AX$2-1,$D34:$EE34)/12)*(1+XLOOKUP(AX$2,Assumptions!$C$94:$M$94,Assumptions!$C$98:$M$98))))</f>
        <v>-5183.538328</v>
      </c>
      <c r="AY34" s="54">
        <f t="array" ref="AY34">-(IF(AY$2=1,Assumptions!$X35/12,-(SUMIF($D$2:$EE$2,AY$2-1,$D34:$EE34)/12)*(1+XLOOKUP(AY$2,Assumptions!$C$94:$M$94,Assumptions!$C$98:$M$98))))</f>
        <v>-5183.538328</v>
      </c>
      <c r="AZ34" s="54">
        <f t="array" ref="AZ34">-(IF(AZ$2=1,Assumptions!$X35/12,-(SUMIF($D$2:$EE$2,AZ$2-1,$D34:$EE34)/12)*(1+XLOOKUP(AZ$2,Assumptions!$C$94:$M$94,Assumptions!$C$98:$M$98))))</f>
        <v>-5339.044478</v>
      </c>
      <c r="BA34" s="54">
        <f t="array" ref="BA34">-(IF(BA$2=1,Assumptions!$X35/12,-(SUMIF($D$2:$EE$2,BA$2-1,$D34:$EE34)/12)*(1+XLOOKUP(BA$2,Assumptions!$C$94:$M$94,Assumptions!$C$98:$M$98))))</f>
        <v>-5339.044478</v>
      </c>
      <c r="BB34" s="54">
        <f t="array" ref="BB34">-(IF(BB$2=1,Assumptions!$X35/12,-(SUMIF($D$2:$EE$2,BB$2-1,$D34:$EE34)/12)*(1+XLOOKUP(BB$2,Assumptions!$C$94:$M$94,Assumptions!$C$98:$M$98))))</f>
        <v>-5339.044478</v>
      </c>
      <c r="BC34" s="54">
        <f t="array" ref="BC34">-(IF(BC$2=1,Assumptions!$X35/12,-(SUMIF($D$2:$EE$2,BC$2-1,$D34:$EE34)/12)*(1+XLOOKUP(BC$2,Assumptions!$C$94:$M$94,Assumptions!$C$98:$M$98))))</f>
        <v>-5339.044478</v>
      </c>
      <c r="BD34" s="54">
        <f t="array" ref="BD34">-(IF(BD$2=1,Assumptions!$X35/12,-(SUMIF($D$2:$EE$2,BD$2-1,$D34:$EE34)/12)*(1+XLOOKUP(BD$2,Assumptions!$C$94:$M$94,Assumptions!$C$98:$M$98))))</f>
        <v>-5339.044478</v>
      </c>
      <c r="BE34" s="54">
        <f t="array" ref="BE34">-(IF(BE$2=1,Assumptions!$X35/12,-(SUMIF($D$2:$EE$2,BE$2-1,$D34:$EE34)/12)*(1+XLOOKUP(BE$2,Assumptions!$C$94:$M$94,Assumptions!$C$98:$M$98))))</f>
        <v>-5339.044478</v>
      </c>
      <c r="BF34" s="54">
        <f t="array" ref="BF34">-(IF(BF$2=1,Assumptions!$X35/12,-(SUMIF($D$2:$EE$2,BF$2-1,$D34:$EE34)/12)*(1+XLOOKUP(BF$2,Assumptions!$C$94:$M$94,Assumptions!$C$98:$M$98))))</f>
        <v>-5339.044478</v>
      </c>
      <c r="BG34" s="54">
        <f t="array" ref="BG34">-(IF(BG$2=1,Assumptions!$X35/12,-(SUMIF($D$2:$EE$2,BG$2-1,$D34:$EE34)/12)*(1+XLOOKUP(BG$2,Assumptions!$C$94:$M$94,Assumptions!$C$98:$M$98))))</f>
        <v>-5339.044478</v>
      </c>
      <c r="BH34" s="54">
        <f t="array" ref="BH34">-(IF(BH$2=1,Assumptions!$X35/12,-(SUMIF($D$2:$EE$2,BH$2-1,$D34:$EE34)/12)*(1+XLOOKUP(BH$2,Assumptions!$C$94:$M$94,Assumptions!$C$98:$M$98))))</f>
        <v>-5339.044478</v>
      </c>
      <c r="BI34" s="54">
        <f t="array" ref="BI34">-(IF(BI$2=1,Assumptions!$X35/12,-(SUMIF($D$2:$EE$2,BI$2-1,$D34:$EE34)/12)*(1+XLOOKUP(BI$2,Assumptions!$C$94:$M$94,Assumptions!$C$98:$M$98))))</f>
        <v>-5339.044478</v>
      </c>
      <c r="BJ34" s="54">
        <f t="array" ref="BJ34">-(IF(BJ$2=1,Assumptions!$X35/12,-(SUMIF($D$2:$EE$2,BJ$2-1,$D34:$EE34)/12)*(1+XLOOKUP(BJ$2,Assumptions!$C$94:$M$94,Assumptions!$C$98:$M$98))))</f>
        <v>-5339.044478</v>
      </c>
      <c r="BK34" s="54">
        <f t="array" ref="BK34">-(IF(BK$2=1,Assumptions!$X35/12,-(SUMIF($D$2:$EE$2,BK$2-1,$D34:$EE34)/12)*(1+XLOOKUP(BK$2,Assumptions!$C$94:$M$94,Assumptions!$C$98:$M$98))))</f>
        <v>-5339.044478</v>
      </c>
      <c r="BL34" s="54">
        <f t="array" ref="BL34">-(IF(BL$2=1,Assumptions!$X35/12,-(SUMIF($D$2:$EE$2,BL$2-1,$D34:$EE34)/12)*(1+XLOOKUP(BL$2,Assumptions!$C$94:$M$94,Assumptions!$C$98:$M$98))))</f>
        <v>-5499.215812</v>
      </c>
      <c r="BM34" s="54">
        <f t="array" ref="BM34">-(IF(BM$2=1,Assumptions!$X35/12,-(SUMIF($D$2:$EE$2,BM$2-1,$D34:$EE34)/12)*(1+XLOOKUP(BM$2,Assumptions!$C$94:$M$94,Assumptions!$C$98:$M$98))))</f>
        <v>-5499.215812</v>
      </c>
      <c r="BN34" s="54">
        <f t="array" ref="BN34">-(IF(BN$2=1,Assumptions!$X35/12,-(SUMIF($D$2:$EE$2,BN$2-1,$D34:$EE34)/12)*(1+XLOOKUP(BN$2,Assumptions!$C$94:$M$94,Assumptions!$C$98:$M$98))))</f>
        <v>-5499.215812</v>
      </c>
      <c r="BO34" s="54">
        <f t="array" ref="BO34">-(IF(BO$2=1,Assumptions!$X35/12,-(SUMIF($D$2:$EE$2,BO$2-1,$D34:$EE34)/12)*(1+XLOOKUP(BO$2,Assumptions!$C$94:$M$94,Assumptions!$C$98:$M$98))))</f>
        <v>-5499.215812</v>
      </c>
      <c r="BP34" s="54">
        <f t="array" ref="BP34">-(IF(BP$2=1,Assumptions!$X35/12,-(SUMIF($D$2:$EE$2,BP$2-1,$D34:$EE34)/12)*(1+XLOOKUP(BP$2,Assumptions!$C$94:$M$94,Assumptions!$C$98:$M$98))))</f>
        <v>-5499.215812</v>
      </c>
      <c r="BQ34" s="54">
        <f t="array" ref="BQ34">-(IF(BQ$2=1,Assumptions!$X35/12,-(SUMIF($D$2:$EE$2,BQ$2-1,$D34:$EE34)/12)*(1+XLOOKUP(BQ$2,Assumptions!$C$94:$M$94,Assumptions!$C$98:$M$98))))</f>
        <v>-5499.215812</v>
      </c>
      <c r="BR34" s="54">
        <f t="array" ref="BR34">-(IF(BR$2=1,Assumptions!$X35/12,-(SUMIF($D$2:$EE$2,BR$2-1,$D34:$EE34)/12)*(1+XLOOKUP(BR$2,Assumptions!$C$94:$M$94,Assumptions!$C$98:$M$98))))</f>
        <v>-5499.215812</v>
      </c>
      <c r="BS34" s="54">
        <f t="array" ref="BS34">-(IF(BS$2=1,Assumptions!$X35/12,-(SUMIF($D$2:$EE$2,BS$2-1,$D34:$EE34)/12)*(1+XLOOKUP(BS$2,Assumptions!$C$94:$M$94,Assumptions!$C$98:$M$98))))</f>
        <v>-5499.215812</v>
      </c>
      <c r="BT34" s="54">
        <f t="array" ref="BT34">-(IF(BT$2=1,Assumptions!$X35/12,-(SUMIF($D$2:$EE$2,BT$2-1,$D34:$EE34)/12)*(1+XLOOKUP(BT$2,Assumptions!$C$94:$M$94,Assumptions!$C$98:$M$98))))</f>
        <v>-5499.215812</v>
      </c>
      <c r="BU34" s="54">
        <f t="array" ref="BU34">-(IF(BU$2=1,Assumptions!$X35/12,-(SUMIF($D$2:$EE$2,BU$2-1,$D34:$EE34)/12)*(1+XLOOKUP(BU$2,Assumptions!$C$94:$M$94,Assumptions!$C$98:$M$98))))</f>
        <v>-5499.215812</v>
      </c>
      <c r="BV34" s="54">
        <f t="array" ref="BV34">-(IF(BV$2=1,Assumptions!$X35/12,-(SUMIF($D$2:$EE$2,BV$2-1,$D34:$EE34)/12)*(1+XLOOKUP(BV$2,Assumptions!$C$94:$M$94,Assumptions!$C$98:$M$98))))</f>
        <v>-5499.215812</v>
      </c>
      <c r="BW34" s="54">
        <f t="array" ref="BW34">-(IF(BW$2=1,Assumptions!$X35/12,-(SUMIF($D$2:$EE$2,BW$2-1,$D34:$EE34)/12)*(1+XLOOKUP(BW$2,Assumptions!$C$94:$M$94,Assumptions!$C$98:$M$98))))</f>
        <v>-5499.215812</v>
      </c>
      <c r="BX34" s="54">
        <f t="array" ref="BX34">-(IF(BX$2=1,Assumptions!$X35/12,-(SUMIF($D$2:$EE$2,BX$2-1,$D34:$EE34)/12)*(1+XLOOKUP(BX$2,Assumptions!$C$94:$M$94,Assumptions!$C$98:$M$98))))</f>
        <v>-5664.192286</v>
      </c>
      <c r="BY34" s="54">
        <f t="array" ref="BY34">-(IF(BY$2=1,Assumptions!$X35/12,-(SUMIF($D$2:$EE$2,BY$2-1,$D34:$EE34)/12)*(1+XLOOKUP(BY$2,Assumptions!$C$94:$M$94,Assumptions!$C$98:$M$98))))</f>
        <v>-5664.192286</v>
      </c>
      <c r="BZ34" s="54">
        <f t="array" ref="BZ34">-(IF(BZ$2=1,Assumptions!$X35/12,-(SUMIF($D$2:$EE$2,BZ$2-1,$D34:$EE34)/12)*(1+XLOOKUP(BZ$2,Assumptions!$C$94:$M$94,Assumptions!$C$98:$M$98))))</f>
        <v>-5664.192286</v>
      </c>
      <c r="CA34" s="54">
        <f t="array" ref="CA34">-(IF(CA$2=1,Assumptions!$X35/12,-(SUMIF($D$2:$EE$2,CA$2-1,$D34:$EE34)/12)*(1+XLOOKUP(CA$2,Assumptions!$C$94:$M$94,Assumptions!$C$98:$M$98))))</f>
        <v>-5664.192286</v>
      </c>
      <c r="CB34" s="54">
        <f t="array" ref="CB34">-(IF(CB$2=1,Assumptions!$X35/12,-(SUMIF($D$2:$EE$2,CB$2-1,$D34:$EE34)/12)*(1+XLOOKUP(CB$2,Assumptions!$C$94:$M$94,Assumptions!$C$98:$M$98))))</f>
        <v>-5664.192286</v>
      </c>
      <c r="CC34" s="54">
        <f t="array" ref="CC34">-(IF(CC$2=1,Assumptions!$X35/12,-(SUMIF($D$2:$EE$2,CC$2-1,$D34:$EE34)/12)*(1+XLOOKUP(CC$2,Assumptions!$C$94:$M$94,Assumptions!$C$98:$M$98))))</f>
        <v>-5664.192286</v>
      </c>
      <c r="CD34" s="54">
        <f t="array" ref="CD34">-(IF(CD$2=1,Assumptions!$X35/12,-(SUMIF($D$2:$EE$2,CD$2-1,$D34:$EE34)/12)*(1+XLOOKUP(CD$2,Assumptions!$C$94:$M$94,Assumptions!$C$98:$M$98))))</f>
        <v>-5664.192286</v>
      </c>
      <c r="CE34" s="54">
        <f t="array" ref="CE34">-(IF(CE$2=1,Assumptions!$X35/12,-(SUMIF($D$2:$EE$2,CE$2-1,$D34:$EE34)/12)*(1+XLOOKUP(CE$2,Assumptions!$C$94:$M$94,Assumptions!$C$98:$M$98))))</f>
        <v>-5664.192286</v>
      </c>
      <c r="CF34" s="54">
        <f t="array" ref="CF34">-(IF(CF$2=1,Assumptions!$X35/12,-(SUMIF($D$2:$EE$2,CF$2-1,$D34:$EE34)/12)*(1+XLOOKUP(CF$2,Assumptions!$C$94:$M$94,Assumptions!$C$98:$M$98))))</f>
        <v>-5664.192286</v>
      </c>
      <c r="CG34" s="54">
        <f t="array" ref="CG34">-(IF(CG$2=1,Assumptions!$X35/12,-(SUMIF($D$2:$EE$2,CG$2-1,$D34:$EE34)/12)*(1+XLOOKUP(CG$2,Assumptions!$C$94:$M$94,Assumptions!$C$98:$M$98))))</f>
        <v>-5664.192286</v>
      </c>
      <c r="CH34" s="54">
        <f t="array" ref="CH34">-(IF(CH$2=1,Assumptions!$X35/12,-(SUMIF($D$2:$EE$2,CH$2-1,$D34:$EE34)/12)*(1+XLOOKUP(CH$2,Assumptions!$C$94:$M$94,Assumptions!$C$98:$M$98))))</f>
        <v>-5664.192286</v>
      </c>
      <c r="CI34" s="54">
        <f t="array" ref="CI34">-(IF(CI$2=1,Assumptions!$X35/12,-(SUMIF($D$2:$EE$2,CI$2-1,$D34:$EE34)/12)*(1+XLOOKUP(CI$2,Assumptions!$C$94:$M$94,Assumptions!$C$98:$M$98))))</f>
        <v>-5664.192286</v>
      </c>
      <c r="CJ34" s="54">
        <f t="array" ref="CJ34">-(IF(CJ$2=1,Assumptions!$X35/12,-(SUMIF($D$2:$EE$2,CJ$2-1,$D34:$EE34)/12)*(1+XLOOKUP(CJ$2,Assumptions!$C$94:$M$94,Assumptions!$C$98:$M$98))))</f>
        <v>-5834.118055</v>
      </c>
      <c r="CK34" s="54">
        <f t="array" ref="CK34">-(IF(CK$2=1,Assumptions!$X35/12,-(SUMIF($D$2:$EE$2,CK$2-1,$D34:$EE34)/12)*(1+XLOOKUP(CK$2,Assumptions!$C$94:$M$94,Assumptions!$C$98:$M$98))))</f>
        <v>-5834.118055</v>
      </c>
      <c r="CL34" s="54">
        <f t="array" ref="CL34">-(IF(CL$2=1,Assumptions!$X35/12,-(SUMIF($D$2:$EE$2,CL$2-1,$D34:$EE34)/12)*(1+XLOOKUP(CL$2,Assumptions!$C$94:$M$94,Assumptions!$C$98:$M$98))))</f>
        <v>-5834.118055</v>
      </c>
      <c r="CM34" s="54">
        <f t="array" ref="CM34">-(IF(CM$2=1,Assumptions!$X35/12,-(SUMIF($D$2:$EE$2,CM$2-1,$D34:$EE34)/12)*(1+XLOOKUP(CM$2,Assumptions!$C$94:$M$94,Assumptions!$C$98:$M$98))))</f>
        <v>-5834.118055</v>
      </c>
      <c r="CN34" s="54">
        <f t="array" ref="CN34">-(IF(CN$2=1,Assumptions!$X35/12,-(SUMIF($D$2:$EE$2,CN$2-1,$D34:$EE34)/12)*(1+XLOOKUP(CN$2,Assumptions!$C$94:$M$94,Assumptions!$C$98:$M$98))))</f>
        <v>-5834.118055</v>
      </c>
      <c r="CO34" s="54">
        <f t="array" ref="CO34">-(IF(CO$2=1,Assumptions!$X35/12,-(SUMIF($D$2:$EE$2,CO$2-1,$D34:$EE34)/12)*(1+XLOOKUP(CO$2,Assumptions!$C$94:$M$94,Assumptions!$C$98:$M$98))))</f>
        <v>-5834.118055</v>
      </c>
      <c r="CP34" s="54">
        <f t="array" ref="CP34">-(IF(CP$2=1,Assumptions!$X35/12,-(SUMIF($D$2:$EE$2,CP$2-1,$D34:$EE34)/12)*(1+XLOOKUP(CP$2,Assumptions!$C$94:$M$94,Assumptions!$C$98:$M$98))))</f>
        <v>-5834.118055</v>
      </c>
      <c r="CQ34" s="54">
        <f t="array" ref="CQ34">-(IF(CQ$2=1,Assumptions!$X35/12,-(SUMIF($D$2:$EE$2,CQ$2-1,$D34:$EE34)/12)*(1+XLOOKUP(CQ$2,Assumptions!$C$94:$M$94,Assumptions!$C$98:$M$98))))</f>
        <v>-5834.118055</v>
      </c>
      <c r="CR34" s="54">
        <f t="array" ref="CR34">-(IF(CR$2=1,Assumptions!$X35/12,-(SUMIF($D$2:$EE$2,CR$2-1,$D34:$EE34)/12)*(1+XLOOKUP(CR$2,Assumptions!$C$94:$M$94,Assumptions!$C$98:$M$98))))</f>
        <v>-5834.118055</v>
      </c>
      <c r="CS34" s="54">
        <f t="array" ref="CS34">-(IF(CS$2=1,Assumptions!$X35/12,-(SUMIF($D$2:$EE$2,CS$2-1,$D34:$EE34)/12)*(1+XLOOKUP(CS$2,Assumptions!$C$94:$M$94,Assumptions!$C$98:$M$98))))</f>
        <v>-5834.118055</v>
      </c>
      <c r="CT34" s="54">
        <f t="array" ref="CT34">-(IF(CT$2=1,Assumptions!$X35/12,-(SUMIF($D$2:$EE$2,CT$2-1,$D34:$EE34)/12)*(1+XLOOKUP(CT$2,Assumptions!$C$94:$M$94,Assumptions!$C$98:$M$98))))</f>
        <v>-5834.118055</v>
      </c>
      <c r="CU34" s="54">
        <f t="array" ref="CU34">-(IF(CU$2=1,Assumptions!$X35/12,-(SUMIF($D$2:$EE$2,CU$2-1,$D34:$EE34)/12)*(1+XLOOKUP(CU$2,Assumptions!$C$94:$M$94,Assumptions!$C$98:$M$98))))</f>
        <v>-5834.118055</v>
      </c>
      <c r="CV34" s="54">
        <f t="array" ref="CV34">-(IF(CV$2=1,Assumptions!$X35/12,-(SUMIF($D$2:$EE$2,CV$2-1,$D34:$EE34)/12)*(1+XLOOKUP(CV$2,Assumptions!$C$94:$M$94,Assumptions!$C$98:$M$98))))</f>
        <v>-6009.141597</v>
      </c>
      <c r="CW34" s="54">
        <f t="array" ref="CW34">-(IF(CW$2=1,Assumptions!$X35/12,-(SUMIF($D$2:$EE$2,CW$2-1,$D34:$EE34)/12)*(1+XLOOKUP(CW$2,Assumptions!$C$94:$M$94,Assumptions!$C$98:$M$98))))</f>
        <v>-6009.141597</v>
      </c>
      <c r="CX34" s="54">
        <f t="array" ref="CX34">-(IF(CX$2=1,Assumptions!$X35/12,-(SUMIF($D$2:$EE$2,CX$2-1,$D34:$EE34)/12)*(1+XLOOKUP(CX$2,Assumptions!$C$94:$M$94,Assumptions!$C$98:$M$98))))</f>
        <v>-6009.141597</v>
      </c>
      <c r="CY34" s="54">
        <f t="array" ref="CY34">-(IF(CY$2=1,Assumptions!$X35/12,-(SUMIF($D$2:$EE$2,CY$2-1,$D34:$EE34)/12)*(1+XLOOKUP(CY$2,Assumptions!$C$94:$M$94,Assumptions!$C$98:$M$98))))</f>
        <v>-6009.141597</v>
      </c>
      <c r="CZ34" s="54">
        <f t="array" ref="CZ34">-(IF(CZ$2=1,Assumptions!$X35/12,-(SUMIF($D$2:$EE$2,CZ$2-1,$D34:$EE34)/12)*(1+XLOOKUP(CZ$2,Assumptions!$C$94:$M$94,Assumptions!$C$98:$M$98))))</f>
        <v>-6009.141597</v>
      </c>
      <c r="DA34" s="54">
        <f t="array" ref="DA34">-(IF(DA$2=1,Assumptions!$X35/12,-(SUMIF($D$2:$EE$2,DA$2-1,$D34:$EE34)/12)*(1+XLOOKUP(DA$2,Assumptions!$C$94:$M$94,Assumptions!$C$98:$M$98))))</f>
        <v>-6009.141597</v>
      </c>
      <c r="DB34" s="54">
        <f t="array" ref="DB34">-(IF(DB$2=1,Assumptions!$X35/12,-(SUMIF($D$2:$EE$2,DB$2-1,$D34:$EE34)/12)*(1+XLOOKUP(DB$2,Assumptions!$C$94:$M$94,Assumptions!$C$98:$M$98))))</f>
        <v>-6009.141597</v>
      </c>
      <c r="DC34" s="54">
        <f t="array" ref="DC34">-(IF(DC$2=1,Assumptions!$X35/12,-(SUMIF($D$2:$EE$2,DC$2-1,$D34:$EE34)/12)*(1+XLOOKUP(DC$2,Assumptions!$C$94:$M$94,Assumptions!$C$98:$M$98))))</f>
        <v>-6009.141597</v>
      </c>
      <c r="DD34" s="54">
        <f t="array" ref="DD34">-(IF(DD$2=1,Assumptions!$X35/12,-(SUMIF($D$2:$EE$2,DD$2-1,$D34:$EE34)/12)*(1+XLOOKUP(DD$2,Assumptions!$C$94:$M$94,Assumptions!$C$98:$M$98))))</f>
        <v>-6009.141597</v>
      </c>
      <c r="DE34" s="54">
        <f t="array" ref="DE34">-(IF(DE$2=1,Assumptions!$X35/12,-(SUMIF($D$2:$EE$2,DE$2-1,$D34:$EE34)/12)*(1+XLOOKUP(DE$2,Assumptions!$C$94:$M$94,Assumptions!$C$98:$M$98))))</f>
        <v>-6009.141597</v>
      </c>
      <c r="DF34" s="54">
        <f t="array" ref="DF34">-(IF(DF$2=1,Assumptions!$X35/12,-(SUMIF($D$2:$EE$2,DF$2-1,$D34:$EE34)/12)*(1+XLOOKUP(DF$2,Assumptions!$C$94:$M$94,Assumptions!$C$98:$M$98))))</f>
        <v>-6009.141597</v>
      </c>
      <c r="DG34" s="54">
        <f t="array" ref="DG34">-(IF(DG$2=1,Assumptions!$X35/12,-(SUMIF($D$2:$EE$2,DG$2-1,$D34:$EE34)/12)*(1+XLOOKUP(DG$2,Assumptions!$C$94:$M$94,Assumptions!$C$98:$M$98))))</f>
        <v>-6009.141597</v>
      </c>
      <c r="DH34" s="54">
        <f t="array" ref="DH34">-(IF(DH$2=1,Assumptions!$X35/12,-(SUMIF($D$2:$EE$2,DH$2-1,$D34:$EE34)/12)*(1+XLOOKUP(DH$2,Assumptions!$C$94:$M$94,Assumptions!$C$98:$M$98))))</f>
        <v>-6189.415845</v>
      </c>
      <c r="DI34" s="54">
        <f t="array" ref="DI34">-(IF(DI$2=1,Assumptions!$X35/12,-(SUMIF($D$2:$EE$2,DI$2-1,$D34:$EE34)/12)*(1+XLOOKUP(DI$2,Assumptions!$C$94:$M$94,Assumptions!$C$98:$M$98))))</f>
        <v>-6189.415845</v>
      </c>
      <c r="DJ34" s="54">
        <f t="array" ref="DJ34">-(IF(DJ$2=1,Assumptions!$X35/12,-(SUMIF($D$2:$EE$2,DJ$2-1,$D34:$EE34)/12)*(1+XLOOKUP(DJ$2,Assumptions!$C$94:$M$94,Assumptions!$C$98:$M$98))))</f>
        <v>-6189.415845</v>
      </c>
      <c r="DK34" s="54">
        <f t="array" ref="DK34">-(IF(DK$2=1,Assumptions!$X35/12,-(SUMIF($D$2:$EE$2,DK$2-1,$D34:$EE34)/12)*(1+XLOOKUP(DK$2,Assumptions!$C$94:$M$94,Assumptions!$C$98:$M$98))))</f>
        <v>-6189.415845</v>
      </c>
      <c r="DL34" s="54">
        <f t="array" ref="DL34">-(IF(DL$2=1,Assumptions!$X35/12,-(SUMIF($D$2:$EE$2,DL$2-1,$D34:$EE34)/12)*(1+XLOOKUP(DL$2,Assumptions!$C$94:$M$94,Assumptions!$C$98:$M$98))))</f>
        <v>-6189.415845</v>
      </c>
      <c r="DM34" s="54">
        <f t="array" ref="DM34">-(IF(DM$2=1,Assumptions!$X35/12,-(SUMIF($D$2:$EE$2,DM$2-1,$D34:$EE34)/12)*(1+XLOOKUP(DM$2,Assumptions!$C$94:$M$94,Assumptions!$C$98:$M$98))))</f>
        <v>-6189.415845</v>
      </c>
      <c r="DN34" s="54">
        <f t="array" ref="DN34">-(IF(DN$2=1,Assumptions!$X35/12,-(SUMIF($D$2:$EE$2,DN$2-1,$D34:$EE34)/12)*(1+XLOOKUP(DN$2,Assumptions!$C$94:$M$94,Assumptions!$C$98:$M$98))))</f>
        <v>-6189.415845</v>
      </c>
      <c r="DO34" s="54">
        <f t="array" ref="DO34">-(IF(DO$2=1,Assumptions!$X35/12,-(SUMIF($D$2:$EE$2,DO$2-1,$D34:$EE34)/12)*(1+XLOOKUP(DO$2,Assumptions!$C$94:$M$94,Assumptions!$C$98:$M$98))))</f>
        <v>-6189.415845</v>
      </c>
      <c r="DP34" s="54">
        <f t="array" ref="DP34">-(IF(DP$2=1,Assumptions!$X35/12,-(SUMIF($D$2:$EE$2,DP$2-1,$D34:$EE34)/12)*(1+XLOOKUP(DP$2,Assumptions!$C$94:$M$94,Assumptions!$C$98:$M$98))))</f>
        <v>-6189.415845</v>
      </c>
      <c r="DQ34" s="54">
        <f t="array" ref="DQ34">-(IF(DQ$2=1,Assumptions!$X35/12,-(SUMIF($D$2:$EE$2,DQ$2-1,$D34:$EE34)/12)*(1+XLOOKUP(DQ$2,Assumptions!$C$94:$M$94,Assumptions!$C$98:$M$98))))</f>
        <v>-6189.415845</v>
      </c>
      <c r="DR34" s="54">
        <f t="array" ref="DR34">-(IF(DR$2=1,Assumptions!$X35/12,-(SUMIF($D$2:$EE$2,DR$2-1,$D34:$EE34)/12)*(1+XLOOKUP(DR$2,Assumptions!$C$94:$M$94,Assumptions!$C$98:$M$98))))</f>
        <v>-6189.415845</v>
      </c>
      <c r="DS34" s="54">
        <f t="array" ref="DS34">-(IF(DS$2=1,Assumptions!$X35/12,-(SUMIF($D$2:$EE$2,DS$2-1,$D34:$EE34)/12)*(1+XLOOKUP(DS$2,Assumptions!$C$94:$M$94,Assumptions!$C$98:$M$98))))</f>
        <v>-6189.415845</v>
      </c>
      <c r="DT34" s="54">
        <f t="array" ref="DT34">-(IF(DT$2=1,Assumptions!$X35/12,-(SUMIF($D$2:$EE$2,DT$2-1,$D34:$EE34)/12)*(1+XLOOKUP(DT$2,Assumptions!$C$94:$M$94,Assumptions!$C$98:$M$98))))</f>
        <v>-6375.09832</v>
      </c>
      <c r="DU34" s="54">
        <f t="array" ref="DU34">-(IF(DU$2=1,Assumptions!$X35/12,-(SUMIF($D$2:$EE$2,DU$2-1,$D34:$EE34)/12)*(1+XLOOKUP(DU$2,Assumptions!$C$94:$M$94,Assumptions!$C$98:$M$98))))</f>
        <v>-6375.09832</v>
      </c>
      <c r="DV34" s="54">
        <f t="array" ref="DV34">-(IF(DV$2=1,Assumptions!$X35/12,-(SUMIF($D$2:$EE$2,DV$2-1,$D34:$EE34)/12)*(1+XLOOKUP(DV$2,Assumptions!$C$94:$M$94,Assumptions!$C$98:$M$98))))</f>
        <v>-6375.09832</v>
      </c>
      <c r="DW34" s="54">
        <f t="array" ref="DW34">-(IF(DW$2=1,Assumptions!$X35/12,-(SUMIF($D$2:$EE$2,DW$2-1,$D34:$EE34)/12)*(1+XLOOKUP(DW$2,Assumptions!$C$94:$M$94,Assumptions!$C$98:$M$98))))</f>
        <v>-6375.09832</v>
      </c>
      <c r="DX34" s="54">
        <f t="array" ref="DX34">-(IF(DX$2=1,Assumptions!$X35/12,-(SUMIF($D$2:$EE$2,DX$2-1,$D34:$EE34)/12)*(1+XLOOKUP(DX$2,Assumptions!$C$94:$M$94,Assumptions!$C$98:$M$98))))</f>
        <v>-6375.09832</v>
      </c>
      <c r="DY34" s="54">
        <f t="array" ref="DY34">-(IF(DY$2=1,Assumptions!$X35/12,-(SUMIF($D$2:$EE$2,DY$2-1,$D34:$EE34)/12)*(1+XLOOKUP(DY$2,Assumptions!$C$94:$M$94,Assumptions!$C$98:$M$98))))</f>
        <v>-6375.09832</v>
      </c>
      <c r="DZ34" s="54">
        <f t="array" ref="DZ34">-(IF(DZ$2=1,Assumptions!$X35/12,-(SUMIF($D$2:$EE$2,DZ$2-1,$D34:$EE34)/12)*(1+XLOOKUP(DZ$2,Assumptions!$C$94:$M$94,Assumptions!$C$98:$M$98))))</f>
        <v>-6375.09832</v>
      </c>
      <c r="EA34" s="54">
        <f t="array" ref="EA34">-(IF(EA$2=1,Assumptions!$X35/12,-(SUMIF($D$2:$EE$2,EA$2-1,$D34:$EE34)/12)*(1+XLOOKUP(EA$2,Assumptions!$C$94:$M$94,Assumptions!$C$98:$M$98))))</f>
        <v>-6375.09832</v>
      </c>
      <c r="EB34" s="54">
        <f t="array" ref="EB34">-(IF(EB$2=1,Assumptions!$X35/12,-(SUMIF($D$2:$EE$2,EB$2-1,$D34:$EE34)/12)*(1+XLOOKUP(EB$2,Assumptions!$C$94:$M$94,Assumptions!$C$98:$M$98))))</f>
        <v>-6375.09832</v>
      </c>
      <c r="EC34" s="54">
        <f t="array" ref="EC34">-(IF(EC$2=1,Assumptions!$X35/12,-(SUMIF($D$2:$EE$2,EC$2-1,$D34:$EE34)/12)*(1+XLOOKUP(EC$2,Assumptions!$C$94:$M$94,Assumptions!$C$98:$M$98))))</f>
        <v>-6375.09832</v>
      </c>
      <c r="ED34" s="54">
        <f t="array" ref="ED34">-(IF(ED$2=1,Assumptions!$X35/12,-(SUMIF($D$2:$EE$2,ED$2-1,$D34:$EE34)/12)*(1+XLOOKUP(ED$2,Assumptions!$C$94:$M$94,Assumptions!$C$98:$M$98))))</f>
        <v>-6375.09832</v>
      </c>
      <c r="EE34" s="54">
        <f t="array" ref="EE34">-(IF(EE$2=1,Assumptions!$X35/12,-(SUMIF($D$2:$EE$2,EE$2-1,$D34:$EE34)/12)*(1+XLOOKUP(EE$2,Assumptions!$C$94:$M$94,Assumptions!$C$98:$M$98))))</f>
        <v>-6375.09832</v>
      </c>
    </row>
    <row r="35" ht="15.75" customHeight="1">
      <c r="A35" s="1"/>
      <c r="B35" s="1"/>
      <c r="C35" s="1" t="str">
        <f>Assumptions!J36</f>
        <v>HQ Expense</v>
      </c>
      <c r="D35" s="54">
        <f t="array" ref="D35">-(IF(D$2=1,Assumptions!$X36/12,-(SUMIF($D$2:$EE$2,D$2-1,$D35:$EE35)/12)*(1+XLOOKUP(D$2,Assumptions!$C$94:$M$94,Assumptions!$C$98:$M$98))))</f>
        <v>-954.0589583</v>
      </c>
      <c r="E35" s="54">
        <f t="array" ref="E35">-(IF(E$2=1,Assumptions!$X36/12,-(SUMIF($D$2:$EE$2,E$2-1,$D35:$EE35)/12)*(1+XLOOKUP(E$2,Assumptions!$C$94:$M$94,Assumptions!$C$98:$M$98))))</f>
        <v>-954.0589583</v>
      </c>
      <c r="F35" s="54">
        <f t="array" ref="F35">-(IF(F$2=1,Assumptions!$X36/12,-(SUMIF($D$2:$EE$2,F$2-1,$D35:$EE35)/12)*(1+XLOOKUP(F$2,Assumptions!$C$94:$M$94,Assumptions!$C$98:$M$98))))</f>
        <v>-954.0589583</v>
      </c>
      <c r="G35" s="54">
        <f t="array" ref="G35">-(IF(G$2=1,Assumptions!$X36/12,-(SUMIF($D$2:$EE$2,G$2-1,$D35:$EE35)/12)*(1+XLOOKUP(G$2,Assumptions!$C$94:$M$94,Assumptions!$C$98:$M$98))))</f>
        <v>-954.0589583</v>
      </c>
      <c r="H35" s="54">
        <f t="array" ref="H35">-(IF(H$2=1,Assumptions!$X36/12,-(SUMIF($D$2:$EE$2,H$2-1,$D35:$EE35)/12)*(1+XLOOKUP(H$2,Assumptions!$C$94:$M$94,Assumptions!$C$98:$M$98))))</f>
        <v>-954.0589583</v>
      </c>
      <c r="I35" s="54">
        <f t="array" ref="I35">-(IF(I$2=1,Assumptions!$X36/12,-(SUMIF($D$2:$EE$2,I$2-1,$D35:$EE35)/12)*(1+XLOOKUP(I$2,Assumptions!$C$94:$M$94,Assumptions!$C$98:$M$98))))</f>
        <v>-954.0589583</v>
      </c>
      <c r="J35" s="54">
        <f t="array" ref="J35">-(IF(J$2=1,Assumptions!$X36/12,-(SUMIF($D$2:$EE$2,J$2-1,$D35:$EE35)/12)*(1+XLOOKUP(J$2,Assumptions!$C$94:$M$94,Assumptions!$C$98:$M$98))))</f>
        <v>-954.0589583</v>
      </c>
      <c r="K35" s="54">
        <f t="array" ref="K35">-(IF(K$2=1,Assumptions!$X36/12,-(SUMIF($D$2:$EE$2,K$2-1,$D35:$EE35)/12)*(1+XLOOKUP(K$2,Assumptions!$C$94:$M$94,Assumptions!$C$98:$M$98))))</f>
        <v>-954.0589583</v>
      </c>
      <c r="L35" s="54">
        <f t="array" ref="L35">-(IF(L$2=1,Assumptions!$X36/12,-(SUMIF($D$2:$EE$2,L$2-1,$D35:$EE35)/12)*(1+XLOOKUP(L$2,Assumptions!$C$94:$M$94,Assumptions!$C$98:$M$98))))</f>
        <v>-954.0589583</v>
      </c>
      <c r="M35" s="54">
        <f t="array" ref="M35">-(IF(M$2=1,Assumptions!$X36/12,-(SUMIF($D$2:$EE$2,M$2-1,$D35:$EE35)/12)*(1+XLOOKUP(M$2,Assumptions!$C$94:$M$94,Assumptions!$C$98:$M$98))))</f>
        <v>-954.0589583</v>
      </c>
      <c r="N35" s="54">
        <f t="array" ref="N35">-(IF(N$2=1,Assumptions!$X36/12,-(SUMIF($D$2:$EE$2,N$2-1,$D35:$EE35)/12)*(1+XLOOKUP(N$2,Assumptions!$C$94:$M$94,Assumptions!$C$98:$M$98))))</f>
        <v>-954.0589583</v>
      </c>
      <c r="O35" s="54">
        <f t="array" ref="O35">-(IF(O$2=1,Assumptions!$X36/12,-(SUMIF($D$2:$EE$2,O$2-1,$D35:$EE35)/12)*(1+XLOOKUP(O$2,Assumptions!$C$94:$M$94,Assumptions!$C$98:$M$98))))</f>
        <v>-954.0589583</v>
      </c>
      <c r="P35" s="54">
        <f t="array" ref="P35">-(IF(P$2=1,Assumptions!$X36/12,-(SUMIF($D$2:$EE$2,P$2-1,$D35:$EE35)/12)*(1+XLOOKUP(P$2,Assumptions!$C$94:$M$94,Assumptions!$C$98:$M$98))))</f>
        <v>-982.6807271</v>
      </c>
      <c r="Q35" s="54">
        <f t="array" ref="Q35">-(IF(Q$2=1,Assumptions!$X36/12,-(SUMIF($D$2:$EE$2,Q$2-1,$D35:$EE35)/12)*(1+XLOOKUP(Q$2,Assumptions!$C$94:$M$94,Assumptions!$C$98:$M$98))))</f>
        <v>-982.6807271</v>
      </c>
      <c r="R35" s="54">
        <f t="array" ref="R35">-(IF(R$2=1,Assumptions!$X36/12,-(SUMIF($D$2:$EE$2,R$2-1,$D35:$EE35)/12)*(1+XLOOKUP(R$2,Assumptions!$C$94:$M$94,Assumptions!$C$98:$M$98))))</f>
        <v>-982.6807271</v>
      </c>
      <c r="S35" s="54">
        <f t="array" ref="S35">-(IF(S$2=1,Assumptions!$X36/12,-(SUMIF($D$2:$EE$2,S$2-1,$D35:$EE35)/12)*(1+XLOOKUP(S$2,Assumptions!$C$94:$M$94,Assumptions!$C$98:$M$98))))</f>
        <v>-982.6807271</v>
      </c>
      <c r="T35" s="54">
        <f t="array" ref="T35">-(IF(T$2=1,Assumptions!$X36/12,-(SUMIF($D$2:$EE$2,T$2-1,$D35:$EE35)/12)*(1+XLOOKUP(T$2,Assumptions!$C$94:$M$94,Assumptions!$C$98:$M$98))))</f>
        <v>-982.6807271</v>
      </c>
      <c r="U35" s="54">
        <f t="array" ref="U35">-(IF(U$2=1,Assumptions!$X36/12,-(SUMIF($D$2:$EE$2,U$2-1,$D35:$EE35)/12)*(1+XLOOKUP(U$2,Assumptions!$C$94:$M$94,Assumptions!$C$98:$M$98))))</f>
        <v>-982.6807271</v>
      </c>
      <c r="V35" s="54">
        <f t="array" ref="V35">-(IF(V$2=1,Assumptions!$X36/12,-(SUMIF($D$2:$EE$2,V$2-1,$D35:$EE35)/12)*(1+XLOOKUP(V$2,Assumptions!$C$94:$M$94,Assumptions!$C$98:$M$98))))</f>
        <v>-982.6807271</v>
      </c>
      <c r="W35" s="54">
        <f t="array" ref="W35">-(IF(W$2=1,Assumptions!$X36/12,-(SUMIF($D$2:$EE$2,W$2-1,$D35:$EE35)/12)*(1+XLOOKUP(W$2,Assumptions!$C$94:$M$94,Assumptions!$C$98:$M$98))))</f>
        <v>-982.6807271</v>
      </c>
      <c r="X35" s="54">
        <f t="array" ref="X35">-(IF(X$2=1,Assumptions!$X36/12,-(SUMIF($D$2:$EE$2,X$2-1,$D35:$EE35)/12)*(1+XLOOKUP(X$2,Assumptions!$C$94:$M$94,Assumptions!$C$98:$M$98))))</f>
        <v>-982.6807271</v>
      </c>
      <c r="Y35" s="54">
        <f t="array" ref="Y35">-(IF(Y$2=1,Assumptions!$X36/12,-(SUMIF($D$2:$EE$2,Y$2-1,$D35:$EE35)/12)*(1+XLOOKUP(Y$2,Assumptions!$C$94:$M$94,Assumptions!$C$98:$M$98))))</f>
        <v>-982.6807271</v>
      </c>
      <c r="Z35" s="54">
        <f t="array" ref="Z35">-(IF(Z$2=1,Assumptions!$X36/12,-(SUMIF($D$2:$EE$2,Z$2-1,$D35:$EE35)/12)*(1+XLOOKUP(Z$2,Assumptions!$C$94:$M$94,Assumptions!$C$98:$M$98))))</f>
        <v>-982.6807271</v>
      </c>
      <c r="AA35" s="54">
        <f t="array" ref="AA35">-(IF(AA$2=1,Assumptions!$X36/12,-(SUMIF($D$2:$EE$2,AA$2-1,$D35:$EE35)/12)*(1+XLOOKUP(AA$2,Assumptions!$C$94:$M$94,Assumptions!$C$98:$M$98))))</f>
        <v>-982.6807271</v>
      </c>
      <c r="AB35" s="54">
        <f t="array" ref="AB35">-(IF(AB$2=1,Assumptions!$X36/12,-(SUMIF($D$2:$EE$2,AB$2-1,$D35:$EE35)/12)*(1+XLOOKUP(AB$2,Assumptions!$C$94:$M$94,Assumptions!$C$98:$M$98))))</f>
        <v>-1012.161149</v>
      </c>
      <c r="AC35" s="54">
        <f t="array" ref="AC35">-(IF(AC$2=1,Assumptions!$X36/12,-(SUMIF($D$2:$EE$2,AC$2-1,$D35:$EE35)/12)*(1+XLOOKUP(AC$2,Assumptions!$C$94:$M$94,Assumptions!$C$98:$M$98))))</f>
        <v>-1012.161149</v>
      </c>
      <c r="AD35" s="54">
        <f t="array" ref="AD35">-(IF(AD$2=1,Assumptions!$X36/12,-(SUMIF($D$2:$EE$2,AD$2-1,$D35:$EE35)/12)*(1+XLOOKUP(AD$2,Assumptions!$C$94:$M$94,Assumptions!$C$98:$M$98))))</f>
        <v>-1012.161149</v>
      </c>
      <c r="AE35" s="54">
        <f t="array" ref="AE35">-(IF(AE$2=1,Assumptions!$X36/12,-(SUMIF($D$2:$EE$2,AE$2-1,$D35:$EE35)/12)*(1+XLOOKUP(AE$2,Assumptions!$C$94:$M$94,Assumptions!$C$98:$M$98))))</f>
        <v>-1012.161149</v>
      </c>
      <c r="AF35" s="54">
        <f t="array" ref="AF35">-(IF(AF$2=1,Assumptions!$X36/12,-(SUMIF($D$2:$EE$2,AF$2-1,$D35:$EE35)/12)*(1+XLOOKUP(AF$2,Assumptions!$C$94:$M$94,Assumptions!$C$98:$M$98))))</f>
        <v>-1012.161149</v>
      </c>
      <c r="AG35" s="54">
        <f t="array" ref="AG35">-(IF(AG$2=1,Assumptions!$X36/12,-(SUMIF($D$2:$EE$2,AG$2-1,$D35:$EE35)/12)*(1+XLOOKUP(AG$2,Assumptions!$C$94:$M$94,Assumptions!$C$98:$M$98))))</f>
        <v>-1012.161149</v>
      </c>
      <c r="AH35" s="54">
        <f t="array" ref="AH35">-(IF(AH$2=1,Assumptions!$X36/12,-(SUMIF($D$2:$EE$2,AH$2-1,$D35:$EE35)/12)*(1+XLOOKUP(AH$2,Assumptions!$C$94:$M$94,Assumptions!$C$98:$M$98))))</f>
        <v>-1012.161149</v>
      </c>
      <c r="AI35" s="54">
        <f t="array" ref="AI35">-(IF(AI$2=1,Assumptions!$X36/12,-(SUMIF($D$2:$EE$2,AI$2-1,$D35:$EE35)/12)*(1+XLOOKUP(AI$2,Assumptions!$C$94:$M$94,Assumptions!$C$98:$M$98))))</f>
        <v>-1012.161149</v>
      </c>
      <c r="AJ35" s="54">
        <f t="array" ref="AJ35">-(IF(AJ$2=1,Assumptions!$X36/12,-(SUMIF($D$2:$EE$2,AJ$2-1,$D35:$EE35)/12)*(1+XLOOKUP(AJ$2,Assumptions!$C$94:$M$94,Assumptions!$C$98:$M$98))))</f>
        <v>-1012.161149</v>
      </c>
      <c r="AK35" s="54">
        <f t="array" ref="AK35">-(IF(AK$2=1,Assumptions!$X36/12,-(SUMIF($D$2:$EE$2,AK$2-1,$D35:$EE35)/12)*(1+XLOOKUP(AK$2,Assumptions!$C$94:$M$94,Assumptions!$C$98:$M$98))))</f>
        <v>-1012.161149</v>
      </c>
      <c r="AL35" s="54">
        <f t="array" ref="AL35">-(IF(AL$2=1,Assumptions!$X36/12,-(SUMIF($D$2:$EE$2,AL$2-1,$D35:$EE35)/12)*(1+XLOOKUP(AL$2,Assumptions!$C$94:$M$94,Assumptions!$C$98:$M$98))))</f>
        <v>-1012.161149</v>
      </c>
      <c r="AM35" s="54">
        <f t="array" ref="AM35">-(IF(AM$2=1,Assumptions!$X36/12,-(SUMIF($D$2:$EE$2,AM$2-1,$D35:$EE35)/12)*(1+XLOOKUP(AM$2,Assumptions!$C$94:$M$94,Assumptions!$C$98:$M$98))))</f>
        <v>-1012.161149</v>
      </c>
      <c r="AN35" s="54">
        <f t="array" ref="AN35">-(IF(AN$2=1,Assumptions!$X36/12,-(SUMIF($D$2:$EE$2,AN$2-1,$D35:$EE35)/12)*(1+XLOOKUP(AN$2,Assumptions!$C$94:$M$94,Assumptions!$C$98:$M$98))))</f>
        <v>-1042.525983</v>
      </c>
      <c r="AO35" s="54">
        <f t="array" ref="AO35">-(IF(AO$2=1,Assumptions!$X36/12,-(SUMIF($D$2:$EE$2,AO$2-1,$D35:$EE35)/12)*(1+XLOOKUP(AO$2,Assumptions!$C$94:$M$94,Assumptions!$C$98:$M$98))))</f>
        <v>-1042.525983</v>
      </c>
      <c r="AP35" s="54">
        <f t="array" ref="AP35">-(IF(AP$2=1,Assumptions!$X36/12,-(SUMIF($D$2:$EE$2,AP$2-1,$D35:$EE35)/12)*(1+XLOOKUP(AP$2,Assumptions!$C$94:$M$94,Assumptions!$C$98:$M$98))))</f>
        <v>-1042.525983</v>
      </c>
      <c r="AQ35" s="54">
        <f t="array" ref="AQ35">-(IF(AQ$2=1,Assumptions!$X36/12,-(SUMIF($D$2:$EE$2,AQ$2-1,$D35:$EE35)/12)*(1+XLOOKUP(AQ$2,Assumptions!$C$94:$M$94,Assumptions!$C$98:$M$98))))</f>
        <v>-1042.525983</v>
      </c>
      <c r="AR35" s="54">
        <f t="array" ref="AR35">-(IF(AR$2=1,Assumptions!$X36/12,-(SUMIF($D$2:$EE$2,AR$2-1,$D35:$EE35)/12)*(1+XLOOKUP(AR$2,Assumptions!$C$94:$M$94,Assumptions!$C$98:$M$98))))</f>
        <v>-1042.525983</v>
      </c>
      <c r="AS35" s="54">
        <f t="array" ref="AS35">-(IF(AS$2=1,Assumptions!$X36/12,-(SUMIF($D$2:$EE$2,AS$2-1,$D35:$EE35)/12)*(1+XLOOKUP(AS$2,Assumptions!$C$94:$M$94,Assumptions!$C$98:$M$98))))</f>
        <v>-1042.525983</v>
      </c>
      <c r="AT35" s="54">
        <f t="array" ref="AT35">-(IF(AT$2=1,Assumptions!$X36/12,-(SUMIF($D$2:$EE$2,AT$2-1,$D35:$EE35)/12)*(1+XLOOKUP(AT$2,Assumptions!$C$94:$M$94,Assumptions!$C$98:$M$98))))</f>
        <v>-1042.525983</v>
      </c>
      <c r="AU35" s="54">
        <f t="array" ref="AU35">-(IF(AU$2=1,Assumptions!$X36/12,-(SUMIF($D$2:$EE$2,AU$2-1,$D35:$EE35)/12)*(1+XLOOKUP(AU$2,Assumptions!$C$94:$M$94,Assumptions!$C$98:$M$98))))</f>
        <v>-1042.525983</v>
      </c>
      <c r="AV35" s="54">
        <f t="array" ref="AV35">-(IF(AV$2=1,Assumptions!$X36/12,-(SUMIF($D$2:$EE$2,AV$2-1,$D35:$EE35)/12)*(1+XLOOKUP(AV$2,Assumptions!$C$94:$M$94,Assumptions!$C$98:$M$98))))</f>
        <v>-1042.525983</v>
      </c>
      <c r="AW35" s="54">
        <f t="array" ref="AW35">-(IF(AW$2=1,Assumptions!$X36/12,-(SUMIF($D$2:$EE$2,AW$2-1,$D35:$EE35)/12)*(1+XLOOKUP(AW$2,Assumptions!$C$94:$M$94,Assumptions!$C$98:$M$98))))</f>
        <v>-1042.525983</v>
      </c>
      <c r="AX35" s="54">
        <f t="array" ref="AX35">-(IF(AX$2=1,Assumptions!$X36/12,-(SUMIF($D$2:$EE$2,AX$2-1,$D35:$EE35)/12)*(1+XLOOKUP(AX$2,Assumptions!$C$94:$M$94,Assumptions!$C$98:$M$98))))</f>
        <v>-1042.525983</v>
      </c>
      <c r="AY35" s="54">
        <f t="array" ref="AY35">-(IF(AY$2=1,Assumptions!$X36/12,-(SUMIF($D$2:$EE$2,AY$2-1,$D35:$EE35)/12)*(1+XLOOKUP(AY$2,Assumptions!$C$94:$M$94,Assumptions!$C$98:$M$98))))</f>
        <v>-1042.525983</v>
      </c>
      <c r="AZ35" s="54">
        <f t="array" ref="AZ35">-(IF(AZ$2=1,Assumptions!$X36/12,-(SUMIF($D$2:$EE$2,AZ$2-1,$D35:$EE35)/12)*(1+XLOOKUP(AZ$2,Assumptions!$C$94:$M$94,Assumptions!$C$98:$M$98))))</f>
        <v>-1073.801763</v>
      </c>
      <c r="BA35" s="54">
        <f t="array" ref="BA35">-(IF(BA$2=1,Assumptions!$X36/12,-(SUMIF($D$2:$EE$2,BA$2-1,$D35:$EE35)/12)*(1+XLOOKUP(BA$2,Assumptions!$C$94:$M$94,Assumptions!$C$98:$M$98))))</f>
        <v>-1073.801763</v>
      </c>
      <c r="BB35" s="54">
        <f t="array" ref="BB35">-(IF(BB$2=1,Assumptions!$X36/12,-(SUMIF($D$2:$EE$2,BB$2-1,$D35:$EE35)/12)*(1+XLOOKUP(BB$2,Assumptions!$C$94:$M$94,Assumptions!$C$98:$M$98))))</f>
        <v>-1073.801763</v>
      </c>
      <c r="BC35" s="54">
        <f t="array" ref="BC35">-(IF(BC$2=1,Assumptions!$X36/12,-(SUMIF($D$2:$EE$2,BC$2-1,$D35:$EE35)/12)*(1+XLOOKUP(BC$2,Assumptions!$C$94:$M$94,Assumptions!$C$98:$M$98))))</f>
        <v>-1073.801763</v>
      </c>
      <c r="BD35" s="54">
        <f t="array" ref="BD35">-(IF(BD$2=1,Assumptions!$X36/12,-(SUMIF($D$2:$EE$2,BD$2-1,$D35:$EE35)/12)*(1+XLOOKUP(BD$2,Assumptions!$C$94:$M$94,Assumptions!$C$98:$M$98))))</f>
        <v>-1073.801763</v>
      </c>
      <c r="BE35" s="54">
        <f t="array" ref="BE35">-(IF(BE$2=1,Assumptions!$X36/12,-(SUMIF($D$2:$EE$2,BE$2-1,$D35:$EE35)/12)*(1+XLOOKUP(BE$2,Assumptions!$C$94:$M$94,Assumptions!$C$98:$M$98))))</f>
        <v>-1073.801763</v>
      </c>
      <c r="BF35" s="54">
        <f t="array" ref="BF35">-(IF(BF$2=1,Assumptions!$X36/12,-(SUMIF($D$2:$EE$2,BF$2-1,$D35:$EE35)/12)*(1+XLOOKUP(BF$2,Assumptions!$C$94:$M$94,Assumptions!$C$98:$M$98))))</f>
        <v>-1073.801763</v>
      </c>
      <c r="BG35" s="54">
        <f t="array" ref="BG35">-(IF(BG$2=1,Assumptions!$X36/12,-(SUMIF($D$2:$EE$2,BG$2-1,$D35:$EE35)/12)*(1+XLOOKUP(BG$2,Assumptions!$C$94:$M$94,Assumptions!$C$98:$M$98))))</f>
        <v>-1073.801763</v>
      </c>
      <c r="BH35" s="54">
        <f t="array" ref="BH35">-(IF(BH$2=1,Assumptions!$X36/12,-(SUMIF($D$2:$EE$2,BH$2-1,$D35:$EE35)/12)*(1+XLOOKUP(BH$2,Assumptions!$C$94:$M$94,Assumptions!$C$98:$M$98))))</f>
        <v>-1073.801763</v>
      </c>
      <c r="BI35" s="54">
        <f t="array" ref="BI35">-(IF(BI$2=1,Assumptions!$X36/12,-(SUMIF($D$2:$EE$2,BI$2-1,$D35:$EE35)/12)*(1+XLOOKUP(BI$2,Assumptions!$C$94:$M$94,Assumptions!$C$98:$M$98))))</f>
        <v>-1073.801763</v>
      </c>
      <c r="BJ35" s="54">
        <f t="array" ref="BJ35">-(IF(BJ$2=1,Assumptions!$X36/12,-(SUMIF($D$2:$EE$2,BJ$2-1,$D35:$EE35)/12)*(1+XLOOKUP(BJ$2,Assumptions!$C$94:$M$94,Assumptions!$C$98:$M$98))))</f>
        <v>-1073.801763</v>
      </c>
      <c r="BK35" s="54">
        <f t="array" ref="BK35">-(IF(BK$2=1,Assumptions!$X36/12,-(SUMIF($D$2:$EE$2,BK$2-1,$D35:$EE35)/12)*(1+XLOOKUP(BK$2,Assumptions!$C$94:$M$94,Assumptions!$C$98:$M$98))))</f>
        <v>-1073.801763</v>
      </c>
      <c r="BL35" s="54">
        <f t="array" ref="BL35">-(IF(BL$2=1,Assumptions!$X36/12,-(SUMIF($D$2:$EE$2,BL$2-1,$D35:$EE35)/12)*(1+XLOOKUP(BL$2,Assumptions!$C$94:$M$94,Assumptions!$C$98:$M$98))))</f>
        <v>-1106.015816</v>
      </c>
      <c r="BM35" s="54">
        <f t="array" ref="BM35">-(IF(BM$2=1,Assumptions!$X36/12,-(SUMIF($D$2:$EE$2,BM$2-1,$D35:$EE35)/12)*(1+XLOOKUP(BM$2,Assumptions!$C$94:$M$94,Assumptions!$C$98:$M$98))))</f>
        <v>-1106.015816</v>
      </c>
      <c r="BN35" s="54">
        <f t="array" ref="BN35">-(IF(BN$2=1,Assumptions!$X36/12,-(SUMIF($D$2:$EE$2,BN$2-1,$D35:$EE35)/12)*(1+XLOOKUP(BN$2,Assumptions!$C$94:$M$94,Assumptions!$C$98:$M$98))))</f>
        <v>-1106.015816</v>
      </c>
      <c r="BO35" s="54">
        <f t="array" ref="BO35">-(IF(BO$2=1,Assumptions!$X36/12,-(SUMIF($D$2:$EE$2,BO$2-1,$D35:$EE35)/12)*(1+XLOOKUP(BO$2,Assumptions!$C$94:$M$94,Assumptions!$C$98:$M$98))))</f>
        <v>-1106.015816</v>
      </c>
      <c r="BP35" s="54">
        <f t="array" ref="BP35">-(IF(BP$2=1,Assumptions!$X36/12,-(SUMIF($D$2:$EE$2,BP$2-1,$D35:$EE35)/12)*(1+XLOOKUP(BP$2,Assumptions!$C$94:$M$94,Assumptions!$C$98:$M$98))))</f>
        <v>-1106.015816</v>
      </c>
      <c r="BQ35" s="54">
        <f t="array" ref="BQ35">-(IF(BQ$2=1,Assumptions!$X36/12,-(SUMIF($D$2:$EE$2,BQ$2-1,$D35:$EE35)/12)*(1+XLOOKUP(BQ$2,Assumptions!$C$94:$M$94,Assumptions!$C$98:$M$98))))</f>
        <v>-1106.015816</v>
      </c>
      <c r="BR35" s="54">
        <f t="array" ref="BR35">-(IF(BR$2=1,Assumptions!$X36/12,-(SUMIF($D$2:$EE$2,BR$2-1,$D35:$EE35)/12)*(1+XLOOKUP(BR$2,Assumptions!$C$94:$M$94,Assumptions!$C$98:$M$98))))</f>
        <v>-1106.015816</v>
      </c>
      <c r="BS35" s="54">
        <f t="array" ref="BS35">-(IF(BS$2=1,Assumptions!$X36/12,-(SUMIF($D$2:$EE$2,BS$2-1,$D35:$EE35)/12)*(1+XLOOKUP(BS$2,Assumptions!$C$94:$M$94,Assumptions!$C$98:$M$98))))</f>
        <v>-1106.015816</v>
      </c>
      <c r="BT35" s="54">
        <f t="array" ref="BT35">-(IF(BT$2=1,Assumptions!$X36/12,-(SUMIF($D$2:$EE$2,BT$2-1,$D35:$EE35)/12)*(1+XLOOKUP(BT$2,Assumptions!$C$94:$M$94,Assumptions!$C$98:$M$98))))</f>
        <v>-1106.015816</v>
      </c>
      <c r="BU35" s="54">
        <f t="array" ref="BU35">-(IF(BU$2=1,Assumptions!$X36/12,-(SUMIF($D$2:$EE$2,BU$2-1,$D35:$EE35)/12)*(1+XLOOKUP(BU$2,Assumptions!$C$94:$M$94,Assumptions!$C$98:$M$98))))</f>
        <v>-1106.015816</v>
      </c>
      <c r="BV35" s="54">
        <f t="array" ref="BV35">-(IF(BV$2=1,Assumptions!$X36/12,-(SUMIF($D$2:$EE$2,BV$2-1,$D35:$EE35)/12)*(1+XLOOKUP(BV$2,Assumptions!$C$94:$M$94,Assumptions!$C$98:$M$98))))</f>
        <v>-1106.015816</v>
      </c>
      <c r="BW35" s="54">
        <f t="array" ref="BW35">-(IF(BW$2=1,Assumptions!$X36/12,-(SUMIF($D$2:$EE$2,BW$2-1,$D35:$EE35)/12)*(1+XLOOKUP(BW$2,Assumptions!$C$94:$M$94,Assumptions!$C$98:$M$98))))</f>
        <v>-1106.015816</v>
      </c>
      <c r="BX35" s="54">
        <f t="array" ref="BX35">-(IF(BX$2=1,Assumptions!$X36/12,-(SUMIF($D$2:$EE$2,BX$2-1,$D35:$EE35)/12)*(1+XLOOKUP(BX$2,Assumptions!$C$94:$M$94,Assumptions!$C$98:$M$98))))</f>
        <v>-1139.19629</v>
      </c>
      <c r="BY35" s="54">
        <f t="array" ref="BY35">-(IF(BY$2=1,Assumptions!$X36/12,-(SUMIF($D$2:$EE$2,BY$2-1,$D35:$EE35)/12)*(1+XLOOKUP(BY$2,Assumptions!$C$94:$M$94,Assumptions!$C$98:$M$98))))</f>
        <v>-1139.19629</v>
      </c>
      <c r="BZ35" s="54">
        <f t="array" ref="BZ35">-(IF(BZ$2=1,Assumptions!$X36/12,-(SUMIF($D$2:$EE$2,BZ$2-1,$D35:$EE35)/12)*(1+XLOOKUP(BZ$2,Assumptions!$C$94:$M$94,Assumptions!$C$98:$M$98))))</f>
        <v>-1139.19629</v>
      </c>
      <c r="CA35" s="54">
        <f t="array" ref="CA35">-(IF(CA$2=1,Assumptions!$X36/12,-(SUMIF($D$2:$EE$2,CA$2-1,$D35:$EE35)/12)*(1+XLOOKUP(CA$2,Assumptions!$C$94:$M$94,Assumptions!$C$98:$M$98))))</f>
        <v>-1139.19629</v>
      </c>
      <c r="CB35" s="54">
        <f t="array" ref="CB35">-(IF(CB$2=1,Assumptions!$X36/12,-(SUMIF($D$2:$EE$2,CB$2-1,$D35:$EE35)/12)*(1+XLOOKUP(CB$2,Assumptions!$C$94:$M$94,Assumptions!$C$98:$M$98))))</f>
        <v>-1139.19629</v>
      </c>
      <c r="CC35" s="54">
        <f t="array" ref="CC35">-(IF(CC$2=1,Assumptions!$X36/12,-(SUMIF($D$2:$EE$2,CC$2-1,$D35:$EE35)/12)*(1+XLOOKUP(CC$2,Assumptions!$C$94:$M$94,Assumptions!$C$98:$M$98))))</f>
        <v>-1139.19629</v>
      </c>
      <c r="CD35" s="54">
        <f t="array" ref="CD35">-(IF(CD$2=1,Assumptions!$X36/12,-(SUMIF($D$2:$EE$2,CD$2-1,$D35:$EE35)/12)*(1+XLOOKUP(CD$2,Assumptions!$C$94:$M$94,Assumptions!$C$98:$M$98))))</f>
        <v>-1139.19629</v>
      </c>
      <c r="CE35" s="54">
        <f t="array" ref="CE35">-(IF(CE$2=1,Assumptions!$X36/12,-(SUMIF($D$2:$EE$2,CE$2-1,$D35:$EE35)/12)*(1+XLOOKUP(CE$2,Assumptions!$C$94:$M$94,Assumptions!$C$98:$M$98))))</f>
        <v>-1139.19629</v>
      </c>
      <c r="CF35" s="54">
        <f t="array" ref="CF35">-(IF(CF$2=1,Assumptions!$X36/12,-(SUMIF($D$2:$EE$2,CF$2-1,$D35:$EE35)/12)*(1+XLOOKUP(CF$2,Assumptions!$C$94:$M$94,Assumptions!$C$98:$M$98))))</f>
        <v>-1139.19629</v>
      </c>
      <c r="CG35" s="54">
        <f t="array" ref="CG35">-(IF(CG$2=1,Assumptions!$X36/12,-(SUMIF($D$2:$EE$2,CG$2-1,$D35:$EE35)/12)*(1+XLOOKUP(CG$2,Assumptions!$C$94:$M$94,Assumptions!$C$98:$M$98))))</f>
        <v>-1139.19629</v>
      </c>
      <c r="CH35" s="54">
        <f t="array" ref="CH35">-(IF(CH$2=1,Assumptions!$X36/12,-(SUMIF($D$2:$EE$2,CH$2-1,$D35:$EE35)/12)*(1+XLOOKUP(CH$2,Assumptions!$C$94:$M$94,Assumptions!$C$98:$M$98))))</f>
        <v>-1139.19629</v>
      </c>
      <c r="CI35" s="54">
        <f t="array" ref="CI35">-(IF(CI$2=1,Assumptions!$X36/12,-(SUMIF($D$2:$EE$2,CI$2-1,$D35:$EE35)/12)*(1+XLOOKUP(CI$2,Assumptions!$C$94:$M$94,Assumptions!$C$98:$M$98))))</f>
        <v>-1139.19629</v>
      </c>
      <c r="CJ35" s="54">
        <f t="array" ref="CJ35">-(IF(CJ$2=1,Assumptions!$X36/12,-(SUMIF($D$2:$EE$2,CJ$2-1,$D35:$EE35)/12)*(1+XLOOKUP(CJ$2,Assumptions!$C$94:$M$94,Assumptions!$C$98:$M$98))))</f>
        <v>-1173.372179</v>
      </c>
      <c r="CK35" s="54">
        <f t="array" ref="CK35">-(IF(CK$2=1,Assumptions!$X36/12,-(SUMIF($D$2:$EE$2,CK$2-1,$D35:$EE35)/12)*(1+XLOOKUP(CK$2,Assumptions!$C$94:$M$94,Assumptions!$C$98:$M$98))))</f>
        <v>-1173.372179</v>
      </c>
      <c r="CL35" s="54">
        <f t="array" ref="CL35">-(IF(CL$2=1,Assumptions!$X36/12,-(SUMIF($D$2:$EE$2,CL$2-1,$D35:$EE35)/12)*(1+XLOOKUP(CL$2,Assumptions!$C$94:$M$94,Assumptions!$C$98:$M$98))))</f>
        <v>-1173.372179</v>
      </c>
      <c r="CM35" s="54">
        <f t="array" ref="CM35">-(IF(CM$2=1,Assumptions!$X36/12,-(SUMIF($D$2:$EE$2,CM$2-1,$D35:$EE35)/12)*(1+XLOOKUP(CM$2,Assumptions!$C$94:$M$94,Assumptions!$C$98:$M$98))))</f>
        <v>-1173.372179</v>
      </c>
      <c r="CN35" s="54">
        <f t="array" ref="CN35">-(IF(CN$2=1,Assumptions!$X36/12,-(SUMIF($D$2:$EE$2,CN$2-1,$D35:$EE35)/12)*(1+XLOOKUP(CN$2,Assumptions!$C$94:$M$94,Assumptions!$C$98:$M$98))))</f>
        <v>-1173.372179</v>
      </c>
      <c r="CO35" s="54">
        <f t="array" ref="CO35">-(IF(CO$2=1,Assumptions!$X36/12,-(SUMIF($D$2:$EE$2,CO$2-1,$D35:$EE35)/12)*(1+XLOOKUP(CO$2,Assumptions!$C$94:$M$94,Assumptions!$C$98:$M$98))))</f>
        <v>-1173.372179</v>
      </c>
      <c r="CP35" s="54">
        <f t="array" ref="CP35">-(IF(CP$2=1,Assumptions!$X36/12,-(SUMIF($D$2:$EE$2,CP$2-1,$D35:$EE35)/12)*(1+XLOOKUP(CP$2,Assumptions!$C$94:$M$94,Assumptions!$C$98:$M$98))))</f>
        <v>-1173.372179</v>
      </c>
      <c r="CQ35" s="54">
        <f t="array" ref="CQ35">-(IF(CQ$2=1,Assumptions!$X36/12,-(SUMIF($D$2:$EE$2,CQ$2-1,$D35:$EE35)/12)*(1+XLOOKUP(CQ$2,Assumptions!$C$94:$M$94,Assumptions!$C$98:$M$98))))</f>
        <v>-1173.372179</v>
      </c>
      <c r="CR35" s="54">
        <f t="array" ref="CR35">-(IF(CR$2=1,Assumptions!$X36/12,-(SUMIF($D$2:$EE$2,CR$2-1,$D35:$EE35)/12)*(1+XLOOKUP(CR$2,Assumptions!$C$94:$M$94,Assumptions!$C$98:$M$98))))</f>
        <v>-1173.372179</v>
      </c>
      <c r="CS35" s="54">
        <f t="array" ref="CS35">-(IF(CS$2=1,Assumptions!$X36/12,-(SUMIF($D$2:$EE$2,CS$2-1,$D35:$EE35)/12)*(1+XLOOKUP(CS$2,Assumptions!$C$94:$M$94,Assumptions!$C$98:$M$98))))</f>
        <v>-1173.372179</v>
      </c>
      <c r="CT35" s="54">
        <f t="array" ref="CT35">-(IF(CT$2=1,Assumptions!$X36/12,-(SUMIF($D$2:$EE$2,CT$2-1,$D35:$EE35)/12)*(1+XLOOKUP(CT$2,Assumptions!$C$94:$M$94,Assumptions!$C$98:$M$98))))</f>
        <v>-1173.372179</v>
      </c>
      <c r="CU35" s="54">
        <f t="array" ref="CU35">-(IF(CU$2=1,Assumptions!$X36/12,-(SUMIF($D$2:$EE$2,CU$2-1,$D35:$EE35)/12)*(1+XLOOKUP(CU$2,Assumptions!$C$94:$M$94,Assumptions!$C$98:$M$98))))</f>
        <v>-1173.372179</v>
      </c>
      <c r="CV35" s="54">
        <f t="array" ref="CV35">-(IF(CV$2=1,Assumptions!$X36/12,-(SUMIF($D$2:$EE$2,CV$2-1,$D35:$EE35)/12)*(1+XLOOKUP(CV$2,Assumptions!$C$94:$M$94,Assumptions!$C$98:$M$98))))</f>
        <v>-1208.573344</v>
      </c>
      <c r="CW35" s="54">
        <f t="array" ref="CW35">-(IF(CW$2=1,Assumptions!$X36/12,-(SUMIF($D$2:$EE$2,CW$2-1,$D35:$EE35)/12)*(1+XLOOKUP(CW$2,Assumptions!$C$94:$M$94,Assumptions!$C$98:$M$98))))</f>
        <v>-1208.573344</v>
      </c>
      <c r="CX35" s="54">
        <f t="array" ref="CX35">-(IF(CX$2=1,Assumptions!$X36/12,-(SUMIF($D$2:$EE$2,CX$2-1,$D35:$EE35)/12)*(1+XLOOKUP(CX$2,Assumptions!$C$94:$M$94,Assumptions!$C$98:$M$98))))</f>
        <v>-1208.573344</v>
      </c>
      <c r="CY35" s="54">
        <f t="array" ref="CY35">-(IF(CY$2=1,Assumptions!$X36/12,-(SUMIF($D$2:$EE$2,CY$2-1,$D35:$EE35)/12)*(1+XLOOKUP(CY$2,Assumptions!$C$94:$M$94,Assumptions!$C$98:$M$98))))</f>
        <v>-1208.573344</v>
      </c>
      <c r="CZ35" s="54">
        <f t="array" ref="CZ35">-(IF(CZ$2=1,Assumptions!$X36/12,-(SUMIF($D$2:$EE$2,CZ$2-1,$D35:$EE35)/12)*(1+XLOOKUP(CZ$2,Assumptions!$C$94:$M$94,Assumptions!$C$98:$M$98))))</f>
        <v>-1208.573344</v>
      </c>
      <c r="DA35" s="54">
        <f t="array" ref="DA35">-(IF(DA$2=1,Assumptions!$X36/12,-(SUMIF($D$2:$EE$2,DA$2-1,$D35:$EE35)/12)*(1+XLOOKUP(DA$2,Assumptions!$C$94:$M$94,Assumptions!$C$98:$M$98))))</f>
        <v>-1208.573344</v>
      </c>
      <c r="DB35" s="54">
        <f t="array" ref="DB35">-(IF(DB$2=1,Assumptions!$X36/12,-(SUMIF($D$2:$EE$2,DB$2-1,$D35:$EE35)/12)*(1+XLOOKUP(DB$2,Assumptions!$C$94:$M$94,Assumptions!$C$98:$M$98))))</f>
        <v>-1208.573344</v>
      </c>
      <c r="DC35" s="54">
        <f t="array" ref="DC35">-(IF(DC$2=1,Assumptions!$X36/12,-(SUMIF($D$2:$EE$2,DC$2-1,$D35:$EE35)/12)*(1+XLOOKUP(DC$2,Assumptions!$C$94:$M$94,Assumptions!$C$98:$M$98))))</f>
        <v>-1208.573344</v>
      </c>
      <c r="DD35" s="54">
        <f t="array" ref="DD35">-(IF(DD$2=1,Assumptions!$X36/12,-(SUMIF($D$2:$EE$2,DD$2-1,$D35:$EE35)/12)*(1+XLOOKUP(DD$2,Assumptions!$C$94:$M$94,Assumptions!$C$98:$M$98))))</f>
        <v>-1208.573344</v>
      </c>
      <c r="DE35" s="54">
        <f t="array" ref="DE35">-(IF(DE$2=1,Assumptions!$X36/12,-(SUMIF($D$2:$EE$2,DE$2-1,$D35:$EE35)/12)*(1+XLOOKUP(DE$2,Assumptions!$C$94:$M$94,Assumptions!$C$98:$M$98))))</f>
        <v>-1208.573344</v>
      </c>
      <c r="DF35" s="54">
        <f t="array" ref="DF35">-(IF(DF$2=1,Assumptions!$X36/12,-(SUMIF($D$2:$EE$2,DF$2-1,$D35:$EE35)/12)*(1+XLOOKUP(DF$2,Assumptions!$C$94:$M$94,Assumptions!$C$98:$M$98))))</f>
        <v>-1208.573344</v>
      </c>
      <c r="DG35" s="54">
        <f t="array" ref="DG35">-(IF(DG$2=1,Assumptions!$X36/12,-(SUMIF($D$2:$EE$2,DG$2-1,$D35:$EE35)/12)*(1+XLOOKUP(DG$2,Assumptions!$C$94:$M$94,Assumptions!$C$98:$M$98))))</f>
        <v>-1208.573344</v>
      </c>
      <c r="DH35" s="54">
        <f t="array" ref="DH35">-(IF(DH$2=1,Assumptions!$X36/12,-(SUMIF($D$2:$EE$2,DH$2-1,$D35:$EE35)/12)*(1+XLOOKUP(DH$2,Assumptions!$C$94:$M$94,Assumptions!$C$98:$M$98))))</f>
        <v>-1244.830545</v>
      </c>
      <c r="DI35" s="54">
        <f t="array" ref="DI35">-(IF(DI$2=1,Assumptions!$X36/12,-(SUMIF($D$2:$EE$2,DI$2-1,$D35:$EE35)/12)*(1+XLOOKUP(DI$2,Assumptions!$C$94:$M$94,Assumptions!$C$98:$M$98))))</f>
        <v>-1244.830545</v>
      </c>
      <c r="DJ35" s="54">
        <f t="array" ref="DJ35">-(IF(DJ$2=1,Assumptions!$X36/12,-(SUMIF($D$2:$EE$2,DJ$2-1,$D35:$EE35)/12)*(1+XLOOKUP(DJ$2,Assumptions!$C$94:$M$94,Assumptions!$C$98:$M$98))))</f>
        <v>-1244.830545</v>
      </c>
      <c r="DK35" s="54">
        <f t="array" ref="DK35">-(IF(DK$2=1,Assumptions!$X36/12,-(SUMIF($D$2:$EE$2,DK$2-1,$D35:$EE35)/12)*(1+XLOOKUP(DK$2,Assumptions!$C$94:$M$94,Assumptions!$C$98:$M$98))))</f>
        <v>-1244.830545</v>
      </c>
      <c r="DL35" s="54">
        <f t="array" ref="DL35">-(IF(DL$2=1,Assumptions!$X36/12,-(SUMIF($D$2:$EE$2,DL$2-1,$D35:$EE35)/12)*(1+XLOOKUP(DL$2,Assumptions!$C$94:$M$94,Assumptions!$C$98:$M$98))))</f>
        <v>-1244.830545</v>
      </c>
      <c r="DM35" s="54">
        <f t="array" ref="DM35">-(IF(DM$2=1,Assumptions!$X36/12,-(SUMIF($D$2:$EE$2,DM$2-1,$D35:$EE35)/12)*(1+XLOOKUP(DM$2,Assumptions!$C$94:$M$94,Assumptions!$C$98:$M$98))))</f>
        <v>-1244.830545</v>
      </c>
      <c r="DN35" s="54">
        <f t="array" ref="DN35">-(IF(DN$2=1,Assumptions!$X36/12,-(SUMIF($D$2:$EE$2,DN$2-1,$D35:$EE35)/12)*(1+XLOOKUP(DN$2,Assumptions!$C$94:$M$94,Assumptions!$C$98:$M$98))))</f>
        <v>-1244.830545</v>
      </c>
      <c r="DO35" s="54">
        <f t="array" ref="DO35">-(IF(DO$2=1,Assumptions!$X36/12,-(SUMIF($D$2:$EE$2,DO$2-1,$D35:$EE35)/12)*(1+XLOOKUP(DO$2,Assumptions!$C$94:$M$94,Assumptions!$C$98:$M$98))))</f>
        <v>-1244.830545</v>
      </c>
      <c r="DP35" s="54">
        <f t="array" ref="DP35">-(IF(DP$2=1,Assumptions!$X36/12,-(SUMIF($D$2:$EE$2,DP$2-1,$D35:$EE35)/12)*(1+XLOOKUP(DP$2,Assumptions!$C$94:$M$94,Assumptions!$C$98:$M$98))))</f>
        <v>-1244.830545</v>
      </c>
      <c r="DQ35" s="54">
        <f t="array" ref="DQ35">-(IF(DQ$2=1,Assumptions!$X36/12,-(SUMIF($D$2:$EE$2,DQ$2-1,$D35:$EE35)/12)*(1+XLOOKUP(DQ$2,Assumptions!$C$94:$M$94,Assumptions!$C$98:$M$98))))</f>
        <v>-1244.830545</v>
      </c>
      <c r="DR35" s="54">
        <f t="array" ref="DR35">-(IF(DR$2=1,Assumptions!$X36/12,-(SUMIF($D$2:$EE$2,DR$2-1,$D35:$EE35)/12)*(1+XLOOKUP(DR$2,Assumptions!$C$94:$M$94,Assumptions!$C$98:$M$98))))</f>
        <v>-1244.830545</v>
      </c>
      <c r="DS35" s="54">
        <f t="array" ref="DS35">-(IF(DS$2=1,Assumptions!$X36/12,-(SUMIF($D$2:$EE$2,DS$2-1,$D35:$EE35)/12)*(1+XLOOKUP(DS$2,Assumptions!$C$94:$M$94,Assumptions!$C$98:$M$98))))</f>
        <v>-1244.830545</v>
      </c>
      <c r="DT35" s="54">
        <f t="array" ref="DT35">-(IF(DT$2=1,Assumptions!$X36/12,-(SUMIF($D$2:$EE$2,DT$2-1,$D35:$EE35)/12)*(1+XLOOKUP(DT$2,Assumptions!$C$94:$M$94,Assumptions!$C$98:$M$98))))</f>
        <v>-1282.175461</v>
      </c>
      <c r="DU35" s="54">
        <f t="array" ref="DU35">-(IF(DU$2=1,Assumptions!$X36/12,-(SUMIF($D$2:$EE$2,DU$2-1,$D35:$EE35)/12)*(1+XLOOKUP(DU$2,Assumptions!$C$94:$M$94,Assumptions!$C$98:$M$98))))</f>
        <v>-1282.175461</v>
      </c>
      <c r="DV35" s="54">
        <f t="array" ref="DV35">-(IF(DV$2=1,Assumptions!$X36/12,-(SUMIF($D$2:$EE$2,DV$2-1,$D35:$EE35)/12)*(1+XLOOKUP(DV$2,Assumptions!$C$94:$M$94,Assumptions!$C$98:$M$98))))</f>
        <v>-1282.175461</v>
      </c>
      <c r="DW35" s="54">
        <f t="array" ref="DW35">-(IF(DW$2=1,Assumptions!$X36/12,-(SUMIF($D$2:$EE$2,DW$2-1,$D35:$EE35)/12)*(1+XLOOKUP(DW$2,Assumptions!$C$94:$M$94,Assumptions!$C$98:$M$98))))</f>
        <v>-1282.175461</v>
      </c>
      <c r="DX35" s="54">
        <f t="array" ref="DX35">-(IF(DX$2=1,Assumptions!$X36/12,-(SUMIF($D$2:$EE$2,DX$2-1,$D35:$EE35)/12)*(1+XLOOKUP(DX$2,Assumptions!$C$94:$M$94,Assumptions!$C$98:$M$98))))</f>
        <v>-1282.175461</v>
      </c>
      <c r="DY35" s="54">
        <f t="array" ref="DY35">-(IF(DY$2=1,Assumptions!$X36/12,-(SUMIF($D$2:$EE$2,DY$2-1,$D35:$EE35)/12)*(1+XLOOKUP(DY$2,Assumptions!$C$94:$M$94,Assumptions!$C$98:$M$98))))</f>
        <v>-1282.175461</v>
      </c>
      <c r="DZ35" s="54">
        <f t="array" ref="DZ35">-(IF(DZ$2=1,Assumptions!$X36/12,-(SUMIF($D$2:$EE$2,DZ$2-1,$D35:$EE35)/12)*(1+XLOOKUP(DZ$2,Assumptions!$C$94:$M$94,Assumptions!$C$98:$M$98))))</f>
        <v>-1282.175461</v>
      </c>
      <c r="EA35" s="54">
        <f t="array" ref="EA35">-(IF(EA$2=1,Assumptions!$X36/12,-(SUMIF($D$2:$EE$2,EA$2-1,$D35:$EE35)/12)*(1+XLOOKUP(EA$2,Assumptions!$C$94:$M$94,Assumptions!$C$98:$M$98))))</f>
        <v>-1282.175461</v>
      </c>
      <c r="EB35" s="54">
        <f t="array" ref="EB35">-(IF(EB$2=1,Assumptions!$X36/12,-(SUMIF($D$2:$EE$2,EB$2-1,$D35:$EE35)/12)*(1+XLOOKUP(EB$2,Assumptions!$C$94:$M$94,Assumptions!$C$98:$M$98))))</f>
        <v>-1282.175461</v>
      </c>
      <c r="EC35" s="54">
        <f t="array" ref="EC35">-(IF(EC$2=1,Assumptions!$X36/12,-(SUMIF($D$2:$EE$2,EC$2-1,$D35:$EE35)/12)*(1+XLOOKUP(EC$2,Assumptions!$C$94:$M$94,Assumptions!$C$98:$M$98))))</f>
        <v>-1282.175461</v>
      </c>
      <c r="ED35" s="54">
        <f t="array" ref="ED35">-(IF(ED$2=1,Assumptions!$X36/12,-(SUMIF($D$2:$EE$2,ED$2-1,$D35:$EE35)/12)*(1+XLOOKUP(ED$2,Assumptions!$C$94:$M$94,Assumptions!$C$98:$M$98))))</f>
        <v>-1282.175461</v>
      </c>
      <c r="EE35" s="54">
        <f t="array" ref="EE35">-(IF(EE$2=1,Assumptions!$X36/12,-(SUMIF($D$2:$EE$2,EE$2-1,$D35:$EE35)/12)*(1+XLOOKUP(EE$2,Assumptions!$C$94:$M$94,Assumptions!$C$98:$M$98))))</f>
        <v>-1282.175461</v>
      </c>
    </row>
    <row r="36" ht="15.75" customHeight="1">
      <c r="A36" s="1"/>
      <c r="B36" s="92"/>
      <c r="C36" s="47" t="str">
        <f>Assumptions!J37</f>
        <v>Total Operating Expenses</v>
      </c>
      <c r="D36" s="209">
        <f t="shared" ref="D36:EE36" si="6">SUM(D24:D35)</f>
        <v>-56577.68564</v>
      </c>
      <c r="E36" s="209">
        <f t="shared" si="6"/>
        <v>-56577.68564</v>
      </c>
      <c r="F36" s="209">
        <f t="shared" si="6"/>
        <v>-56577.68564</v>
      </c>
      <c r="G36" s="209">
        <f t="shared" si="6"/>
        <v>-56577.68564</v>
      </c>
      <c r="H36" s="209">
        <f t="shared" si="6"/>
        <v>-56577.68564</v>
      </c>
      <c r="I36" s="209">
        <f t="shared" si="6"/>
        <v>-56577.68564</v>
      </c>
      <c r="J36" s="209">
        <f t="shared" si="6"/>
        <v>-56577.68564</v>
      </c>
      <c r="K36" s="209">
        <f t="shared" si="6"/>
        <v>-56577.68564</v>
      </c>
      <c r="L36" s="209">
        <f t="shared" si="6"/>
        <v>-56577.68564</v>
      </c>
      <c r="M36" s="209">
        <f t="shared" si="6"/>
        <v>-56577.68564</v>
      </c>
      <c r="N36" s="209">
        <f t="shared" si="6"/>
        <v>-56577.68564</v>
      </c>
      <c r="O36" s="209">
        <f t="shared" si="6"/>
        <v>-56577.68564</v>
      </c>
      <c r="P36" s="209">
        <f t="shared" si="6"/>
        <v>-58376.86732</v>
      </c>
      <c r="Q36" s="209">
        <f t="shared" si="6"/>
        <v>-58376.86732</v>
      </c>
      <c r="R36" s="209">
        <f t="shared" si="6"/>
        <v>-58376.86732</v>
      </c>
      <c r="S36" s="209">
        <f t="shared" si="6"/>
        <v>-58376.86732</v>
      </c>
      <c r="T36" s="209">
        <f t="shared" si="6"/>
        <v>-58376.86732</v>
      </c>
      <c r="U36" s="209">
        <f t="shared" si="6"/>
        <v>-58376.86732</v>
      </c>
      <c r="V36" s="209">
        <f t="shared" si="6"/>
        <v>-58376.86732</v>
      </c>
      <c r="W36" s="209">
        <f t="shared" si="6"/>
        <v>-58376.86732</v>
      </c>
      <c r="X36" s="209">
        <f t="shared" si="6"/>
        <v>-58376.86732</v>
      </c>
      <c r="Y36" s="209">
        <f t="shared" si="6"/>
        <v>-58376.86732</v>
      </c>
      <c r="Z36" s="209">
        <f t="shared" si="6"/>
        <v>-58376.86732</v>
      </c>
      <c r="AA36" s="209">
        <f t="shared" si="6"/>
        <v>-58376.86732</v>
      </c>
      <c r="AB36" s="209">
        <f t="shared" si="6"/>
        <v>-60128.17333</v>
      </c>
      <c r="AC36" s="209">
        <f t="shared" si="6"/>
        <v>-60128.17333</v>
      </c>
      <c r="AD36" s="209">
        <f t="shared" si="6"/>
        <v>-60128.17333</v>
      </c>
      <c r="AE36" s="209">
        <f t="shared" si="6"/>
        <v>-60128.17333</v>
      </c>
      <c r="AF36" s="209">
        <f t="shared" si="6"/>
        <v>-60128.17333</v>
      </c>
      <c r="AG36" s="209">
        <f t="shared" si="6"/>
        <v>-60128.17333</v>
      </c>
      <c r="AH36" s="209">
        <f t="shared" si="6"/>
        <v>-60128.17333</v>
      </c>
      <c r="AI36" s="209">
        <f t="shared" si="6"/>
        <v>-60128.17333</v>
      </c>
      <c r="AJ36" s="209">
        <f t="shared" si="6"/>
        <v>-60128.17333</v>
      </c>
      <c r="AK36" s="209">
        <f t="shared" si="6"/>
        <v>-60128.17333</v>
      </c>
      <c r="AL36" s="209">
        <f t="shared" si="6"/>
        <v>-60128.17333</v>
      </c>
      <c r="AM36" s="209">
        <f t="shared" si="6"/>
        <v>-60128.17333</v>
      </c>
      <c r="AN36" s="209">
        <f t="shared" si="6"/>
        <v>-61932.01853</v>
      </c>
      <c r="AO36" s="209">
        <f t="shared" si="6"/>
        <v>-61932.01853</v>
      </c>
      <c r="AP36" s="209">
        <f t="shared" si="6"/>
        <v>-61932.01853</v>
      </c>
      <c r="AQ36" s="209">
        <f t="shared" si="6"/>
        <v>-61932.01853</v>
      </c>
      <c r="AR36" s="209">
        <f t="shared" si="6"/>
        <v>-61932.01853</v>
      </c>
      <c r="AS36" s="209">
        <f t="shared" si="6"/>
        <v>-61932.01853</v>
      </c>
      <c r="AT36" s="209">
        <f t="shared" si="6"/>
        <v>-61932.01853</v>
      </c>
      <c r="AU36" s="209">
        <f t="shared" si="6"/>
        <v>-61932.01853</v>
      </c>
      <c r="AV36" s="209">
        <f t="shared" si="6"/>
        <v>-61932.01853</v>
      </c>
      <c r="AW36" s="209">
        <f t="shared" si="6"/>
        <v>-61932.01853</v>
      </c>
      <c r="AX36" s="209">
        <f t="shared" si="6"/>
        <v>-61932.01853</v>
      </c>
      <c r="AY36" s="209">
        <f t="shared" si="6"/>
        <v>-61932.01853</v>
      </c>
      <c r="AZ36" s="209">
        <f t="shared" si="6"/>
        <v>-63789.97909</v>
      </c>
      <c r="BA36" s="209">
        <f t="shared" si="6"/>
        <v>-63789.97909</v>
      </c>
      <c r="BB36" s="209">
        <f t="shared" si="6"/>
        <v>-63789.97909</v>
      </c>
      <c r="BC36" s="209">
        <f t="shared" si="6"/>
        <v>-63789.97909</v>
      </c>
      <c r="BD36" s="209">
        <f t="shared" si="6"/>
        <v>-63789.97909</v>
      </c>
      <c r="BE36" s="209">
        <f t="shared" si="6"/>
        <v>-63789.97909</v>
      </c>
      <c r="BF36" s="209">
        <f t="shared" si="6"/>
        <v>-63789.97909</v>
      </c>
      <c r="BG36" s="209">
        <f t="shared" si="6"/>
        <v>-63789.97909</v>
      </c>
      <c r="BH36" s="209">
        <f t="shared" si="6"/>
        <v>-63789.97909</v>
      </c>
      <c r="BI36" s="209">
        <f t="shared" si="6"/>
        <v>-63789.97909</v>
      </c>
      <c r="BJ36" s="209">
        <f t="shared" si="6"/>
        <v>-63789.97909</v>
      </c>
      <c r="BK36" s="209">
        <f t="shared" si="6"/>
        <v>-63789.97909</v>
      </c>
      <c r="BL36" s="209">
        <f t="shared" si="6"/>
        <v>-65703.67846</v>
      </c>
      <c r="BM36" s="209">
        <f t="shared" si="6"/>
        <v>-65703.67846</v>
      </c>
      <c r="BN36" s="209">
        <f t="shared" si="6"/>
        <v>-65703.67846</v>
      </c>
      <c r="BO36" s="209">
        <f t="shared" si="6"/>
        <v>-65703.67846</v>
      </c>
      <c r="BP36" s="209">
        <f t="shared" si="6"/>
        <v>-65703.67846</v>
      </c>
      <c r="BQ36" s="209">
        <f t="shared" si="6"/>
        <v>-65703.67846</v>
      </c>
      <c r="BR36" s="209">
        <f t="shared" si="6"/>
        <v>-65703.67846</v>
      </c>
      <c r="BS36" s="209">
        <f t="shared" si="6"/>
        <v>-65703.67846</v>
      </c>
      <c r="BT36" s="209">
        <f t="shared" si="6"/>
        <v>-65703.67846</v>
      </c>
      <c r="BU36" s="209">
        <f t="shared" si="6"/>
        <v>-65703.67846</v>
      </c>
      <c r="BV36" s="209">
        <f t="shared" si="6"/>
        <v>-65703.67846</v>
      </c>
      <c r="BW36" s="209">
        <f t="shared" si="6"/>
        <v>-65703.67846</v>
      </c>
      <c r="BX36" s="209">
        <f t="shared" si="6"/>
        <v>-67674.78882</v>
      </c>
      <c r="BY36" s="209">
        <f t="shared" si="6"/>
        <v>-67674.78882</v>
      </c>
      <c r="BZ36" s="209">
        <f t="shared" si="6"/>
        <v>-67674.78882</v>
      </c>
      <c r="CA36" s="209">
        <f t="shared" si="6"/>
        <v>-67674.78882</v>
      </c>
      <c r="CB36" s="209">
        <f t="shared" si="6"/>
        <v>-67674.78882</v>
      </c>
      <c r="CC36" s="209">
        <f t="shared" si="6"/>
        <v>-67674.78882</v>
      </c>
      <c r="CD36" s="209">
        <f t="shared" si="6"/>
        <v>-67674.78882</v>
      </c>
      <c r="CE36" s="209">
        <f t="shared" si="6"/>
        <v>-67674.78882</v>
      </c>
      <c r="CF36" s="209">
        <f t="shared" si="6"/>
        <v>-67674.78882</v>
      </c>
      <c r="CG36" s="209">
        <f t="shared" si="6"/>
        <v>-67674.78882</v>
      </c>
      <c r="CH36" s="209">
        <f t="shared" si="6"/>
        <v>-67674.78882</v>
      </c>
      <c r="CI36" s="209">
        <f t="shared" si="6"/>
        <v>-67674.78882</v>
      </c>
      <c r="CJ36" s="209">
        <f t="shared" si="6"/>
        <v>-69705.03248</v>
      </c>
      <c r="CK36" s="209">
        <f t="shared" si="6"/>
        <v>-69705.03248</v>
      </c>
      <c r="CL36" s="209">
        <f t="shared" si="6"/>
        <v>-69705.03248</v>
      </c>
      <c r="CM36" s="209">
        <f t="shared" si="6"/>
        <v>-69705.03248</v>
      </c>
      <c r="CN36" s="209">
        <f t="shared" si="6"/>
        <v>-69705.03248</v>
      </c>
      <c r="CO36" s="209">
        <f t="shared" si="6"/>
        <v>-69705.03248</v>
      </c>
      <c r="CP36" s="209">
        <f t="shared" si="6"/>
        <v>-69705.03248</v>
      </c>
      <c r="CQ36" s="209">
        <f t="shared" si="6"/>
        <v>-69705.03248</v>
      </c>
      <c r="CR36" s="209">
        <f t="shared" si="6"/>
        <v>-69705.03248</v>
      </c>
      <c r="CS36" s="209">
        <f t="shared" si="6"/>
        <v>-69705.03248</v>
      </c>
      <c r="CT36" s="209">
        <f t="shared" si="6"/>
        <v>-69705.03248</v>
      </c>
      <c r="CU36" s="209">
        <f t="shared" si="6"/>
        <v>-69705.03248</v>
      </c>
      <c r="CV36" s="209">
        <f t="shared" si="6"/>
        <v>-71796.18346</v>
      </c>
      <c r="CW36" s="209">
        <f t="shared" si="6"/>
        <v>-71796.18346</v>
      </c>
      <c r="CX36" s="209">
        <f t="shared" si="6"/>
        <v>-71796.18346</v>
      </c>
      <c r="CY36" s="209">
        <f t="shared" si="6"/>
        <v>-71796.18346</v>
      </c>
      <c r="CZ36" s="209">
        <f t="shared" si="6"/>
        <v>-71796.18346</v>
      </c>
      <c r="DA36" s="209">
        <f t="shared" si="6"/>
        <v>-71796.18346</v>
      </c>
      <c r="DB36" s="209">
        <f t="shared" si="6"/>
        <v>-71796.18346</v>
      </c>
      <c r="DC36" s="209">
        <f t="shared" si="6"/>
        <v>-71796.18346</v>
      </c>
      <c r="DD36" s="209">
        <f t="shared" si="6"/>
        <v>-71796.18346</v>
      </c>
      <c r="DE36" s="209">
        <f t="shared" si="6"/>
        <v>-71796.18346</v>
      </c>
      <c r="DF36" s="209">
        <f t="shared" si="6"/>
        <v>-71796.18346</v>
      </c>
      <c r="DG36" s="209">
        <f t="shared" si="6"/>
        <v>-71796.18346</v>
      </c>
      <c r="DH36" s="209">
        <f t="shared" si="6"/>
        <v>-73821.04702</v>
      </c>
      <c r="DI36" s="209">
        <f t="shared" si="6"/>
        <v>-73821.04702</v>
      </c>
      <c r="DJ36" s="209">
        <f t="shared" si="6"/>
        <v>-73821.04702</v>
      </c>
      <c r="DK36" s="209">
        <f t="shared" si="6"/>
        <v>-73821.04702</v>
      </c>
      <c r="DL36" s="209">
        <f t="shared" si="6"/>
        <v>-73821.04702</v>
      </c>
      <c r="DM36" s="209">
        <f t="shared" si="6"/>
        <v>-73821.04702</v>
      </c>
      <c r="DN36" s="209">
        <f t="shared" si="6"/>
        <v>-73821.04702</v>
      </c>
      <c r="DO36" s="209">
        <f t="shared" si="6"/>
        <v>-73821.04702</v>
      </c>
      <c r="DP36" s="209">
        <f t="shared" si="6"/>
        <v>-73821.04702</v>
      </c>
      <c r="DQ36" s="209">
        <f t="shared" si="6"/>
        <v>-73821.04702</v>
      </c>
      <c r="DR36" s="209">
        <f t="shared" si="6"/>
        <v>-73821.04702</v>
      </c>
      <c r="DS36" s="209">
        <f t="shared" si="6"/>
        <v>-73821.04702</v>
      </c>
      <c r="DT36" s="209">
        <f t="shared" si="6"/>
        <v>-76168.57103</v>
      </c>
      <c r="DU36" s="209">
        <f t="shared" si="6"/>
        <v>-76168.57103</v>
      </c>
      <c r="DV36" s="209">
        <f t="shared" si="6"/>
        <v>-76168.57103</v>
      </c>
      <c r="DW36" s="209">
        <f t="shared" si="6"/>
        <v>-76168.57103</v>
      </c>
      <c r="DX36" s="209">
        <f t="shared" si="6"/>
        <v>-76168.57103</v>
      </c>
      <c r="DY36" s="209">
        <f t="shared" si="6"/>
        <v>-76168.57103</v>
      </c>
      <c r="DZ36" s="209">
        <f t="shared" si="6"/>
        <v>-76168.57103</v>
      </c>
      <c r="EA36" s="209">
        <f t="shared" si="6"/>
        <v>-76168.57103</v>
      </c>
      <c r="EB36" s="209">
        <f t="shared" si="6"/>
        <v>-76168.57103</v>
      </c>
      <c r="EC36" s="209">
        <f t="shared" si="6"/>
        <v>-76168.57103</v>
      </c>
      <c r="ED36" s="209">
        <f t="shared" si="6"/>
        <v>-76168.57103</v>
      </c>
      <c r="EE36" s="209">
        <f t="shared" si="6"/>
        <v>-76168.57103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7"/>
      <c r="C38" s="47" t="str">
        <f>Assumptions!J39</f>
        <v>Net Operating Income</v>
      </c>
      <c r="D38" s="213">
        <f>IF(OR(D$1=Assumptions!$B$115,D$1=Assumptions!$C$115,D$1=Assumptions!$D$115,D$1=Assumptions!$E$115,D$1=Assumptions!$F$115),(Assumptions!$C$105*D$21)+(SUM(D28+D30+D32+D33+D34)+(Assumptions!$C$105*SUM(D$24:D$27,D$29,D$31,D$35))),(D$21+D$36))</f>
        <v>59835.1826</v>
      </c>
      <c r="E38" s="213">
        <f t="shared" ref="E38:EE38" si="7">E21+E36</f>
        <v>59835.1826</v>
      </c>
      <c r="F38" s="213">
        <f t="shared" si="7"/>
        <v>59835.1826</v>
      </c>
      <c r="G38" s="213">
        <f t="shared" si="7"/>
        <v>59835.1826</v>
      </c>
      <c r="H38" s="213">
        <f t="shared" si="7"/>
        <v>59835.1826</v>
      </c>
      <c r="I38" s="213">
        <f t="shared" si="7"/>
        <v>59835.1826</v>
      </c>
      <c r="J38" s="213">
        <f t="shared" si="7"/>
        <v>59835.1826</v>
      </c>
      <c r="K38" s="213">
        <f t="shared" si="7"/>
        <v>59835.1826</v>
      </c>
      <c r="L38" s="213">
        <f t="shared" si="7"/>
        <v>59835.1826</v>
      </c>
      <c r="M38" s="213">
        <f t="shared" si="7"/>
        <v>59835.1826</v>
      </c>
      <c r="N38" s="213">
        <f t="shared" si="7"/>
        <v>59835.1826</v>
      </c>
      <c r="O38" s="213">
        <f t="shared" si="7"/>
        <v>59835.1826</v>
      </c>
      <c r="P38" s="213">
        <f t="shared" si="7"/>
        <v>69827.53992</v>
      </c>
      <c r="Q38" s="213">
        <f t="shared" si="7"/>
        <v>69827.53992</v>
      </c>
      <c r="R38" s="213">
        <f t="shared" si="7"/>
        <v>69827.53992</v>
      </c>
      <c r="S38" s="213">
        <f t="shared" si="7"/>
        <v>69827.53992</v>
      </c>
      <c r="T38" s="213">
        <f t="shared" si="7"/>
        <v>69827.53992</v>
      </c>
      <c r="U38" s="213">
        <f t="shared" si="7"/>
        <v>69827.53992</v>
      </c>
      <c r="V38" s="213">
        <f t="shared" si="7"/>
        <v>69827.53992</v>
      </c>
      <c r="W38" s="213">
        <f t="shared" si="7"/>
        <v>69827.53992</v>
      </c>
      <c r="X38" s="213">
        <f t="shared" si="7"/>
        <v>69827.53992</v>
      </c>
      <c r="Y38" s="213">
        <f t="shared" si="7"/>
        <v>69827.53992</v>
      </c>
      <c r="Z38" s="213">
        <f t="shared" si="7"/>
        <v>69827.53992</v>
      </c>
      <c r="AA38" s="213">
        <f t="shared" si="7"/>
        <v>69827.53992</v>
      </c>
      <c r="AB38" s="213">
        <f t="shared" si="7"/>
        <v>71922.36612</v>
      </c>
      <c r="AC38" s="213">
        <f t="shared" si="7"/>
        <v>71922.36612</v>
      </c>
      <c r="AD38" s="213">
        <f t="shared" si="7"/>
        <v>71922.36612</v>
      </c>
      <c r="AE38" s="213">
        <f t="shared" si="7"/>
        <v>71922.36612</v>
      </c>
      <c r="AF38" s="213">
        <f t="shared" si="7"/>
        <v>71922.36612</v>
      </c>
      <c r="AG38" s="213">
        <f t="shared" si="7"/>
        <v>71922.36612</v>
      </c>
      <c r="AH38" s="213">
        <f t="shared" si="7"/>
        <v>71922.36612</v>
      </c>
      <c r="AI38" s="213">
        <f t="shared" si="7"/>
        <v>71922.36612</v>
      </c>
      <c r="AJ38" s="213">
        <f t="shared" si="7"/>
        <v>71922.36612</v>
      </c>
      <c r="AK38" s="213">
        <f t="shared" si="7"/>
        <v>71922.36612</v>
      </c>
      <c r="AL38" s="213">
        <f t="shared" si="7"/>
        <v>71922.36612</v>
      </c>
      <c r="AM38" s="213">
        <f t="shared" si="7"/>
        <v>71922.36612</v>
      </c>
      <c r="AN38" s="213">
        <f t="shared" si="7"/>
        <v>74080.0371</v>
      </c>
      <c r="AO38" s="213">
        <f t="shared" si="7"/>
        <v>74080.0371</v>
      </c>
      <c r="AP38" s="213">
        <f t="shared" si="7"/>
        <v>74080.0371</v>
      </c>
      <c r="AQ38" s="213">
        <f t="shared" si="7"/>
        <v>74080.0371</v>
      </c>
      <c r="AR38" s="213">
        <f t="shared" si="7"/>
        <v>74080.0371</v>
      </c>
      <c r="AS38" s="213">
        <f t="shared" si="7"/>
        <v>74080.0371</v>
      </c>
      <c r="AT38" s="213">
        <f t="shared" si="7"/>
        <v>74080.0371</v>
      </c>
      <c r="AU38" s="213">
        <f t="shared" si="7"/>
        <v>74080.0371</v>
      </c>
      <c r="AV38" s="213">
        <f t="shared" si="7"/>
        <v>74080.0371</v>
      </c>
      <c r="AW38" s="213">
        <f t="shared" si="7"/>
        <v>74080.0371</v>
      </c>
      <c r="AX38" s="213">
        <f t="shared" si="7"/>
        <v>74080.0371</v>
      </c>
      <c r="AY38" s="213">
        <f t="shared" si="7"/>
        <v>74080.0371</v>
      </c>
      <c r="AZ38" s="213">
        <f t="shared" si="7"/>
        <v>76302.43821</v>
      </c>
      <c r="BA38" s="213">
        <f t="shared" si="7"/>
        <v>76302.43821</v>
      </c>
      <c r="BB38" s="213">
        <f t="shared" si="7"/>
        <v>76302.43821</v>
      </c>
      <c r="BC38" s="213">
        <f t="shared" si="7"/>
        <v>76302.43821</v>
      </c>
      <c r="BD38" s="213">
        <f t="shared" si="7"/>
        <v>76302.43821</v>
      </c>
      <c r="BE38" s="213">
        <f t="shared" si="7"/>
        <v>76302.43821</v>
      </c>
      <c r="BF38" s="213">
        <f t="shared" si="7"/>
        <v>76302.43821</v>
      </c>
      <c r="BG38" s="213">
        <f t="shared" si="7"/>
        <v>76302.43821</v>
      </c>
      <c r="BH38" s="213">
        <f t="shared" si="7"/>
        <v>76302.43821</v>
      </c>
      <c r="BI38" s="213">
        <f t="shared" si="7"/>
        <v>76302.43821</v>
      </c>
      <c r="BJ38" s="213">
        <f t="shared" si="7"/>
        <v>76302.43821</v>
      </c>
      <c r="BK38" s="213">
        <f t="shared" si="7"/>
        <v>76302.43821</v>
      </c>
      <c r="BL38" s="213">
        <f t="shared" si="7"/>
        <v>78591.51136</v>
      </c>
      <c r="BM38" s="213">
        <f t="shared" si="7"/>
        <v>78591.51136</v>
      </c>
      <c r="BN38" s="213">
        <f t="shared" si="7"/>
        <v>78591.51136</v>
      </c>
      <c r="BO38" s="213">
        <f t="shared" si="7"/>
        <v>78591.51136</v>
      </c>
      <c r="BP38" s="213">
        <f t="shared" si="7"/>
        <v>78591.51136</v>
      </c>
      <c r="BQ38" s="213">
        <f t="shared" si="7"/>
        <v>78591.51136</v>
      </c>
      <c r="BR38" s="213">
        <f t="shared" si="7"/>
        <v>78591.51136</v>
      </c>
      <c r="BS38" s="213">
        <f t="shared" si="7"/>
        <v>78591.51136</v>
      </c>
      <c r="BT38" s="213">
        <f t="shared" si="7"/>
        <v>78591.51136</v>
      </c>
      <c r="BU38" s="213">
        <f t="shared" si="7"/>
        <v>78591.51136</v>
      </c>
      <c r="BV38" s="213">
        <f t="shared" si="7"/>
        <v>78591.51136</v>
      </c>
      <c r="BW38" s="213">
        <f t="shared" si="7"/>
        <v>78591.51136</v>
      </c>
      <c r="BX38" s="213">
        <f t="shared" si="7"/>
        <v>80949.2567</v>
      </c>
      <c r="BY38" s="213">
        <f t="shared" si="7"/>
        <v>80949.2567</v>
      </c>
      <c r="BZ38" s="213">
        <f t="shared" si="7"/>
        <v>80949.2567</v>
      </c>
      <c r="CA38" s="213">
        <f t="shared" si="7"/>
        <v>80949.2567</v>
      </c>
      <c r="CB38" s="213">
        <f t="shared" si="7"/>
        <v>80949.2567</v>
      </c>
      <c r="CC38" s="213">
        <f t="shared" si="7"/>
        <v>80949.2567</v>
      </c>
      <c r="CD38" s="213">
        <f t="shared" si="7"/>
        <v>80949.2567</v>
      </c>
      <c r="CE38" s="213">
        <f t="shared" si="7"/>
        <v>80949.2567</v>
      </c>
      <c r="CF38" s="213">
        <f t="shared" si="7"/>
        <v>80949.2567</v>
      </c>
      <c r="CG38" s="213">
        <f t="shared" si="7"/>
        <v>80949.2567</v>
      </c>
      <c r="CH38" s="213">
        <f t="shared" si="7"/>
        <v>80949.2567</v>
      </c>
      <c r="CI38" s="213">
        <f t="shared" si="7"/>
        <v>80949.2567</v>
      </c>
      <c r="CJ38" s="213">
        <f t="shared" si="7"/>
        <v>83377.7344</v>
      </c>
      <c r="CK38" s="213">
        <f t="shared" si="7"/>
        <v>83377.7344</v>
      </c>
      <c r="CL38" s="213">
        <f t="shared" si="7"/>
        <v>83377.7344</v>
      </c>
      <c r="CM38" s="213">
        <f t="shared" si="7"/>
        <v>83377.7344</v>
      </c>
      <c r="CN38" s="213">
        <f t="shared" si="7"/>
        <v>83377.7344</v>
      </c>
      <c r="CO38" s="213">
        <f t="shared" si="7"/>
        <v>83377.7344</v>
      </c>
      <c r="CP38" s="213">
        <f t="shared" si="7"/>
        <v>83377.7344</v>
      </c>
      <c r="CQ38" s="213">
        <f t="shared" si="7"/>
        <v>83377.7344</v>
      </c>
      <c r="CR38" s="213">
        <f t="shared" si="7"/>
        <v>83377.7344</v>
      </c>
      <c r="CS38" s="213">
        <f t="shared" si="7"/>
        <v>83377.7344</v>
      </c>
      <c r="CT38" s="213">
        <f t="shared" si="7"/>
        <v>83377.7344</v>
      </c>
      <c r="CU38" s="213">
        <f t="shared" si="7"/>
        <v>83377.7344</v>
      </c>
      <c r="CV38" s="213">
        <f t="shared" si="7"/>
        <v>85879.06643</v>
      </c>
      <c r="CW38" s="213">
        <f t="shared" si="7"/>
        <v>85879.06643</v>
      </c>
      <c r="CX38" s="213">
        <f t="shared" si="7"/>
        <v>85879.06643</v>
      </c>
      <c r="CY38" s="213">
        <f t="shared" si="7"/>
        <v>85879.06643</v>
      </c>
      <c r="CZ38" s="213">
        <f t="shared" si="7"/>
        <v>85879.06643</v>
      </c>
      <c r="DA38" s="213">
        <f t="shared" si="7"/>
        <v>85879.06643</v>
      </c>
      <c r="DB38" s="213">
        <f t="shared" si="7"/>
        <v>85879.06643</v>
      </c>
      <c r="DC38" s="213">
        <f t="shared" si="7"/>
        <v>85879.06643</v>
      </c>
      <c r="DD38" s="213">
        <f t="shared" si="7"/>
        <v>85879.06643</v>
      </c>
      <c r="DE38" s="213">
        <f t="shared" si="7"/>
        <v>85879.06643</v>
      </c>
      <c r="DF38" s="213">
        <f t="shared" si="7"/>
        <v>85879.06643</v>
      </c>
      <c r="DG38" s="213">
        <f t="shared" si="7"/>
        <v>85879.06643</v>
      </c>
      <c r="DH38" s="213">
        <f t="shared" si="7"/>
        <v>84283.72905</v>
      </c>
      <c r="DI38" s="213">
        <f t="shared" si="7"/>
        <v>84283.72905</v>
      </c>
      <c r="DJ38" s="213">
        <f t="shared" si="7"/>
        <v>84283.72905</v>
      </c>
      <c r="DK38" s="213">
        <f t="shared" si="7"/>
        <v>84283.72905</v>
      </c>
      <c r="DL38" s="213">
        <f t="shared" si="7"/>
        <v>84283.72905</v>
      </c>
      <c r="DM38" s="213">
        <f t="shared" si="7"/>
        <v>84283.72905</v>
      </c>
      <c r="DN38" s="213">
        <f t="shared" si="7"/>
        <v>84283.72905</v>
      </c>
      <c r="DO38" s="213">
        <f t="shared" si="7"/>
        <v>84283.72905</v>
      </c>
      <c r="DP38" s="213">
        <f t="shared" si="7"/>
        <v>84283.72905</v>
      </c>
      <c r="DQ38" s="213">
        <f t="shared" si="7"/>
        <v>84283.72905</v>
      </c>
      <c r="DR38" s="213">
        <f t="shared" si="7"/>
        <v>84283.72905</v>
      </c>
      <c r="DS38" s="213">
        <f t="shared" si="7"/>
        <v>84283.72905</v>
      </c>
      <c r="DT38" s="213">
        <f t="shared" si="7"/>
        <v>91109.10158</v>
      </c>
      <c r="DU38" s="213">
        <f t="shared" si="7"/>
        <v>91109.10158</v>
      </c>
      <c r="DV38" s="213">
        <f t="shared" si="7"/>
        <v>91109.10158</v>
      </c>
      <c r="DW38" s="213">
        <f t="shared" si="7"/>
        <v>91109.10158</v>
      </c>
      <c r="DX38" s="213">
        <f t="shared" si="7"/>
        <v>91109.10158</v>
      </c>
      <c r="DY38" s="213">
        <f t="shared" si="7"/>
        <v>91109.10158</v>
      </c>
      <c r="DZ38" s="213">
        <f t="shared" si="7"/>
        <v>91109.10158</v>
      </c>
      <c r="EA38" s="213">
        <f t="shared" si="7"/>
        <v>91109.10158</v>
      </c>
      <c r="EB38" s="213">
        <f t="shared" si="7"/>
        <v>91109.10158</v>
      </c>
      <c r="EC38" s="213">
        <f t="shared" si="7"/>
        <v>91109.10158</v>
      </c>
      <c r="ED38" s="213">
        <f t="shared" si="7"/>
        <v>91109.10158</v>
      </c>
      <c r="EE38" s="213">
        <f t="shared" si="7"/>
        <v>91109.10158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70" t="str">
        <f>'305 e. Daniel'!C40</f>
        <v>Capital Expenditure</v>
      </c>
      <c r="D40" s="132">
        <f>IF(OR(D$1=Assumptions!$B$115,D$1=Assumptions!$C$115,D$1=Assumptions!$D$115,D$1=Assumptions!$E$115,D$1=Assumptions!$F$115),Assumptions!$T$12*Assumptions!$C$102/Assumptions!$C$104,0)</f>
        <v>0</v>
      </c>
      <c r="E40" s="132">
        <f>IF(OR(E$1=Assumptions!$B$115,E$1=Assumptions!$C$115,E$1=Assumptions!$D$115,E$1=Assumptions!$E$115,E$1=Assumptions!$F$115),Assumptions!$T$12*Assumptions!$C$102/Assumptions!$C$104,0)</f>
        <v>0</v>
      </c>
      <c r="F40" s="132">
        <f>IF(OR(F$1=Assumptions!$B$115,F$1=Assumptions!$C$115,F$1=Assumptions!$D$115,F$1=Assumptions!$E$115,F$1=Assumptions!$F$115),Assumptions!$T$12*Assumptions!$C$102/Assumptions!$C$104,0)</f>
        <v>0</v>
      </c>
      <c r="G40" s="132">
        <f>IF(OR(G$1=Assumptions!$B$115,G$1=Assumptions!$C$115,G$1=Assumptions!$D$115,G$1=Assumptions!$E$115,G$1=Assumptions!$F$115),Assumptions!$T$12*Assumptions!$C$102/Assumptions!$C$104,0)</f>
        <v>0</v>
      </c>
      <c r="H40" s="132">
        <f>IF(OR(H$1=Assumptions!$B$115,H$1=Assumptions!$C$115,H$1=Assumptions!$D$115,H$1=Assumptions!$E$115,H$1=Assumptions!$F$115),Assumptions!$T$12*Assumptions!$C$102/Assumptions!$C$104,0)</f>
        <v>0</v>
      </c>
      <c r="I40" s="132">
        <f>IF(OR(I$1=Assumptions!$B$115,I$1=Assumptions!$C$115,I$1=Assumptions!$D$115,I$1=Assumptions!$E$115,I$1=Assumptions!$F$115),Assumptions!$T$12*Assumptions!$C$102/Assumptions!$C$104,0)</f>
        <v>0</v>
      </c>
      <c r="J40" s="132">
        <f>IF(OR(J$1=Assumptions!$B$115,J$1=Assumptions!$C$115,J$1=Assumptions!$D$115,J$1=Assumptions!$E$115,J$1=Assumptions!$F$115),Assumptions!$T$12*Assumptions!$C$102/Assumptions!$C$104,0)</f>
        <v>0</v>
      </c>
      <c r="K40" s="132">
        <f>IF(OR(K$1=Assumptions!$B$115,K$1=Assumptions!$C$115,K$1=Assumptions!$D$115,K$1=Assumptions!$E$115,K$1=Assumptions!$F$115),Assumptions!$T$12*Assumptions!$C$102/Assumptions!$C$104,0)</f>
        <v>0</v>
      </c>
      <c r="L40" s="132">
        <f>IF(OR(L$1=Assumptions!$B$115,L$1=Assumptions!$C$115,L$1=Assumptions!$D$115,L$1=Assumptions!$E$115,L$1=Assumptions!$F$115),Assumptions!$T$12*Assumptions!$C$102/Assumptions!$C$104,0)</f>
        <v>0</v>
      </c>
      <c r="M40" s="132">
        <f>IF(OR(M$1=Assumptions!$B$115,M$1=Assumptions!$C$115,M$1=Assumptions!$D$115,M$1=Assumptions!$E$115,M$1=Assumptions!$F$115),Assumptions!$T$12*Assumptions!$C$102/Assumptions!$C$104,0)</f>
        <v>0</v>
      </c>
      <c r="N40" s="132">
        <f>IF(OR(N$1=Assumptions!$B$115,N$1=Assumptions!$C$115,N$1=Assumptions!$D$115,N$1=Assumptions!$E$115,N$1=Assumptions!$F$115),Assumptions!$T$12*Assumptions!$C$102/Assumptions!$C$104,0)</f>
        <v>0</v>
      </c>
      <c r="O40" s="132">
        <f>IF(OR(O$1=Assumptions!$B$115,O$1=Assumptions!$C$115,O$1=Assumptions!$D$115,O$1=Assumptions!$E$115,O$1=Assumptions!$F$115),Assumptions!$T$12*Assumptions!$C$102/Assumptions!$C$104,0)</f>
        <v>0</v>
      </c>
      <c r="P40" s="132">
        <f>IF(OR(P$1=Assumptions!$B$115,P$1=Assumptions!$C$115,P$1=Assumptions!$D$115,P$1=Assumptions!$E$115,P$1=Assumptions!$F$115),Assumptions!$T$12*Assumptions!$C$102/Assumptions!$C$104,0)</f>
        <v>0</v>
      </c>
      <c r="Q40" s="132">
        <f>IF(OR(Q$1=Assumptions!$B$115,Q$1=Assumptions!$C$115,Q$1=Assumptions!$D$115,Q$1=Assumptions!$E$115,Q$1=Assumptions!$F$115),Assumptions!$T$12*Assumptions!$C$102/Assumptions!$C$104,0)</f>
        <v>0</v>
      </c>
      <c r="R40" s="132">
        <f>IF(OR(R$1=Assumptions!$B$115,R$1=Assumptions!$C$115,R$1=Assumptions!$D$115,R$1=Assumptions!$E$115,R$1=Assumptions!$F$115),Assumptions!$T$12*Assumptions!$C$102/Assumptions!$C$104,0)</f>
        <v>0</v>
      </c>
      <c r="S40" s="132">
        <f>IF(OR(S$1=Assumptions!$B$115,S$1=Assumptions!$C$115,S$1=Assumptions!$D$115,S$1=Assumptions!$E$115,S$1=Assumptions!$F$115),Assumptions!$T$12*Assumptions!$C$102/Assumptions!$C$104,0)</f>
        <v>0</v>
      </c>
      <c r="T40" s="132">
        <f>IF(OR(T$1=Assumptions!$B$115,T$1=Assumptions!$C$115,T$1=Assumptions!$D$115,T$1=Assumptions!$E$115,T$1=Assumptions!$F$115),Assumptions!$T$12*Assumptions!$C$102/Assumptions!$C$104,0)</f>
        <v>0</v>
      </c>
      <c r="U40" s="132">
        <f>IF(OR(U$1=Assumptions!$B$115,U$1=Assumptions!$C$115,U$1=Assumptions!$D$115,U$1=Assumptions!$E$115,U$1=Assumptions!$F$115),Assumptions!$T$12*Assumptions!$C$102/Assumptions!$C$104,0)</f>
        <v>0</v>
      </c>
      <c r="V40" s="132">
        <f>IF(OR(V$1=Assumptions!$B$115,V$1=Assumptions!$C$115,V$1=Assumptions!$D$115,V$1=Assumptions!$E$115,V$1=Assumptions!$F$115),Assumptions!$T$12*Assumptions!$C$102/Assumptions!$C$104,0)</f>
        <v>0</v>
      </c>
      <c r="W40" s="132">
        <f>IF(OR(W$1=Assumptions!$B$115,W$1=Assumptions!$C$115,W$1=Assumptions!$D$115,W$1=Assumptions!$E$115,W$1=Assumptions!$F$115),Assumptions!$T$12*Assumptions!$C$102/Assumptions!$C$104,0)</f>
        <v>0</v>
      </c>
      <c r="X40" s="132">
        <f>IF(OR(X$1=Assumptions!$B$115,X$1=Assumptions!$C$115,X$1=Assumptions!$D$115,X$1=Assumptions!$E$115,X$1=Assumptions!$F$115),Assumptions!$T$12*Assumptions!$C$102/Assumptions!$C$104,0)</f>
        <v>0</v>
      </c>
      <c r="Y40" s="132">
        <f>IF(OR(Y$1=Assumptions!$B$115,Y$1=Assumptions!$C$115,Y$1=Assumptions!$D$115,Y$1=Assumptions!$E$115,Y$1=Assumptions!$F$115),Assumptions!$T$12*Assumptions!$C$102/Assumptions!$C$104,0)</f>
        <v>0</v>
      </c>
      <c r="Z40" s="132">
        <f>IF(OR(Z$1=Assumptions!$B$115,Z$1=Assumptions!$C$115,Z$1=Assumptions!$D$115,Z$1=Assumptions!$E$115,Z$1=Assumptions!$F$115),Assumptions!$T$12*Assumptions!$C$102/Assumptions!$C$104,0)</f>
        <v>0</v>
      </c>
      <c r="AA40" s="132">
        <f>IF(OR(AA$1=Assumptions!$B$115,AA$1=Assumptions!$C$115,AA$1=Assumptions!$D$115,AA$1=Assumptions!$E$115,AA$1=Assumptions!$F$115),Assumptions!$T$12*Assumptions!$C$102/Assumptions!$C$104,0)</f>
        <v>0</v>
      </c>
      <c r="AB40" s="132">
        <f>IF(OR(AB$1=Assumptions!$B$115,AB$1=Assumptions!$C$115,AB$1=Assumptions!$D$115,AB$1=Assumptions!$E$115,AB$1=Assumptions!$F$115),Assumptions!$T$12*Assumptions!$C$102/Assumptions!$C$104,0)</f>
        <v>0</v>
      </c>
      <c r="AC40" s="132">
        <f>IF(OR(AC$1=Assumptions!$B$115,AC$1=Assumptions!$C$115,AC$1=Assumptions!$D$115,AC$1=Assumptions!$E$115,AC$1=Assumptions!$F$115),Assumptions!$T$12*Assumptions!$C$102/Assumptions!$C$104,0)</f>
        <v>0</v>
      </c>
      <c r="AD40" s="132">
        <f>IF(OR(AD$1=Assumptions!$B$115,AD$1=Assumptions!$C$115,AD$1=Assumptions!$D$115,AD$1=Assumptions!$E$115,AD$1=Assumptions!$F$115),Assumptions!$T$12*Assumptions!$C$102/Assumptions!$C$104,0)</f>
        <v>0</v>
      </c>
      <c r="AE40" s="132">
        <f>IF(OR(AE$1=Assumptions!$B$115,AE$1=Assumptions!$C$115,AE$1=Assumptions!$D$115,AE$1=Assumptions!$E$115,AE$1=Assumptions!$F$115),Assumptions!$T$12*Assumptions!$C$102/Assumptions!$C$104,0)</f>
        <v>0</v>
      </c>
      <c r="AF40" s="132">
        <f>IF(OR(AF$1=Assumptions!$B$115,AF$1=Assumptions!$C$115,AF$1=Assumptions!$D$115,AF$1=Assumptions!$E$115,AF$1=Assumptions!$F$115),Assumptions!$T$12*Assumptions!$C$102/Assumptions!$C$104,0)</f>
        <v>0</v>
      </c>
      <c r="AG40" s="132">
        <f>IF(OR(AG$1=Assumptions!$B$115,AG$1=Assumptions!$C$115,AG$1=Assumptions!$D$115,AG$1=Assumptions!$E$115,AG$1=Assumptions!$F$115),Assumptions!$T$12*Assumptions!$C$102/Assumptions!$C$104,0)</f>
        <v>0</v>
      </c>
      <c r="AH40" s="132">
        <f>IF(OR(AH$1=Assumptions!$B$115,AH$1=Assumptions!$C$115,AH$1=Assumptions!$D$115,AH$1=Assumptions!$E$115,AH$1=Assumptions!$F$115),Assumptions!$T$12*Assumptions!$C$102/Assumptions!$C$104,0)</f>
        <v>0</v>
      </c>
      <c r="AI40" s="132">
        <f>IF(OR(AI$1=Assumptions!$B$115,AI$1=Assumptions!$C$115,AI$1=Assumptions!$D$115,AI$1=Assumptions!$E$115,AI$1=Assumptions!$F$115),Assumptions!$T$12*Assumptions!$C$102/Assumptions!$C$104,0)</f>
        <v>0</v>
      </c>
      <c r="AJ40" s="132">
        <f>IF(OR(AJ$1=Assumptions!$B$115,AJ$1=Assumptions!$C$115,AJ$1=Assumptions!$D$115,AJ$1=Assumptions!$E$115,AJ$1=Assumptions!$F$115),Assumptions!$T$12*Assumptions!$C$102/Assumptions!$C$104,0)</f>
        <v>0</v>
      </c>
      <c r="AK40" s="132">
        <f>IF(OR(AK$1=Assumptions!$B$115,AK$1=Assumptions!$C$115,AK$1=Assumptions!$D$115,AK$1=Assumptions!$E$115,AK$1=Assumptions!$F$115),Assumptions!$T$12*Assumptions!$C$102/Assumptions!$C$104,0)</f>
        <v>0</v>
      </c>
      <c r="AL40" s="132">
        <f>IF(OR(AL$1=Assumptions!$B$115,AL$1=Assumptions!$C$115,AL$1=Assumptions!$D$115,AL$1=Assumptions!$E$115,AL$1=Assumptions!$F$115),Assumptions!$T$12*Assumptions!$C$102/Assumptions!$C$104,0)</f>
        <v>0</v>
      </c>
      <c r="AM40" s="132">
        <f>IF(OR(AM$1=Assumptions!$B$115,AM$1=Assumptions!$C$115,AM$1=Assumptions!$D$115,AM$1=Assumptions!$E$115,AM$1=Assumptions!$F$115),Assumptions!$T$12*Assumptions!$C$102/Assumptions!$C$104,0)</f>
        <v>0</v>
      </c>
      <c r="AN40" s="132">
        <f>IF(OR(AN$1=Assumptions!$B$115,AN$1=Assumptions!$C$115,AN$1=Assumptions!$D$115,AN$1=Assumptions!$E$115,AN$1=Assumptions!$F$115),Assumptions!$T$12*Assumptions!$C$102/Assumptions!$C$104,0)</f>
        <v>0</v>
      </c>
      <c r="AO40" s="132">
        <f>IF(OR(AO$1=Assumptions!$B$115,AO$1=Assumptions!$C$115,AO$1=Assumptions!$D$115,AO$1=Assumptions!$E$115,AO$1=Assumptions!$F$115),Assumptions!$T$12*Assumptions!$C$102/Assumptions!$C$104,0)</f>
        <v>0</v>
      </c>
      <c r="AP40" s="132">
        <f>IF(OR(AP$1=Assumptions!$B$115,AP$1=Assumptions!$C$115,AP$1=Assumptions!$D$115,AP$1=Assumptions!$E$115,AP$1=Assumptions!$F$115),Assumptions!$T$12*Assumptions!$C$102/Assumptions!$C$104,0)</f>
        <v>0</v>
      </c>
      <c r="AQ40" s="132">
        <f>IF(OR(AQ$1=Assumptions!$B$115,AQ$1=Assumptions!$C$115,AQ$1=Assumptions!$D$115,AQ$1=Assumptions!$E$115,AQ$1=Assumptions!$F$115),Assumptions!$T$12*Assumptions!$C$102/Assumptions!$C$104,0)</f>
        <v>0</v>
      </c>
      <c r="AR40" s="132">
        <f>IF(OR(AR$1=Assumptions!$B$115,AR$1=Assumptions!$C$115,AR$1=Assumptions!$D$115,AR$1=Assumptions!$E$115,AR$1=Assumptions!$F$115),Assumptions!$T$12*Assumptions!$C$102/Assumptions!$C$104,0)</f>
        <v>0</v>
      </c>
      <c r="AS40" s="132">
        <f>IF(OR(AS$1=Assumptions!$B$115,AS$1=Assumptions!$C$115,AS$1=Assumptions!$D$115,AS$1=Assumptions!$E$115,AS$1=Assumptions!$F$115),Assumptions!$T$12*Assumptions!$C$102/Assumptions!$C$104,0)</f>
        <v>0</v>
      </c>
      <c r="AT40" s="132">
        <f>IF(OR(AT$1=Assumptions!$B$115,AT$1=Assumptions!$C$115,AT$1=Assumptions!$D$115,AT$1=Assumptions!$E$115,AT$1=Assumptions!$F$115),Assumptions!$T$12*Assumptions!$C$102/Assumptions!$C$104,0)</f>
        <v>0</v>
      </c>
      <c r="AU40" s="132">
        <f>IF(OR(AU$1=Assumptions!$B$115,AU$1=Assumptions!$C$115,AU$1=Assumptions!$D$115,AU$1=Assumptions!$E$115,AU$1=Assumptions!$F$115),Assumptions!$T$12*Assumptions!$C$102/Assumptions!$C$104,0)</f>
        <v>0</v>
      </c>
      <c r="AV40" s="132">
        <f>IF(OR(AV$1=Assumptions!$B$115,AV$1=Assumptions!$C$115,AV$1=Assumptions!$D$115,AV$1=Assumptions!$E$115,AV$1=Assumptions!$F$115),Assumptions!$T$12*Assumptions!$C$102/Assumptions!$C$104,0)</f>
        <v>0</v>
      </c>
      <c r="AW40" s="132">
        <f>IF(OR(AW$1=Assumptions!$B$115,AW$1=Assumptions!$C$115,AW$1=Assumptions!$D$115,AW$1=Assumptions!$E$115,AW$1=Assumptions!$F$115),Assumptions!$T$12*Assumptions!$C$102/Assumptions!$C$104,0)</f>
        <v>0</v>
      </c>
      <c r="AX40" s="132">
        <f>IF(OR(AX$1=Assumptions!$B$115,AX$1=Assumptions!$C$115,AX$1=Assumptions!$D$115,AX$1=Assumptions!$E$115,AX$1=Assumptions!$F$115),Assumptions!$T$12*Assumptions!$C$102/Assumptions!$C$104,0)</f>
        <v>0</v>
      </c>
      <c r="AY40" s="132">
        <f>IF(OR(AY$1=Assumptions!$B$115,AY$1=Assumptions!$C$115,AY$1=Assumptions!$D$115,AY$1=Assumptions!$E$115,AY$1=Assumptions!$F$115),Assumptions!$T$12*Assumptions!$C$102/Assumptions!$C$104,0)</f>
        <v>0</v>
      </c>
      <c r="AZ40" s="132">
        <f>IF(OR(AZ$1=Assumptions!$B$115,AZ$1=Assumptions!$C$115,AZ$1=Assumptions!$D$115,AZ$1=Assumptions!$E$115,AZ$1=Assumptions!$F$115),Assumptions!$T$12*Assumptions!$C$102/Assumptions!$C$104,0)</f>
        <v>0</v>
      </c>
      <c r="BA40" s="132">
        <f>IF(OR(BA$1=Assumptions!$B$115,BA$1=Assumptions!$C$115,BA$1=Assumptions!$D$115,BA$1=Assumptions!$E$115,BA$1=Assumptions!$F$115),Assumptions!$T$12*Assumptions!$C$102/Assumptions!$C$104,0)</f>
        <v>0</v>
      </c>
      <c r="BB40" s="132">
        <f>IF(OR(BB$1=Assumptions!$B$115,BB$1=Assumptions!$C$115,BB$1=Assumptions!$D$115,BB$1=Assumptions!$E$115,BB$1=Assumptions!$F$115),Assumptions!$T$12*Assumptions!$C$102/Assumptions!$C$104,0)</f>
        <v>0</v>
      </c>
      <c r="BC40" s="132">
        <f>IF(OR(BC$1=Assumptions!$B$115,BC$1=Assumptions!$C$115,BC$1=Assumptions!$D$115,BC$1=Assumptions!$E$115,BC$1=Assumptions!$F$115),Assumptions!$T$12*Assumptions!$C$102/Assumptions!$C$104,0)</f>
        <v>0</v>
      </c>
      <c r="BD40" s="132">
        <f>IF(OR(BD$1=Assumptions!$B$115,BD$1=Assumptions!$C$115,BD$1=Assumptions!$D$115,BD$1=Assumptions!$E$115,BD$1=Assumptions!$F$115),Assumptions!$T$12*Assumptions!$C$102/Assumptions!$C$104,0)</f>
        <v>0</v>
      </c>
      <c r="BE40" s="132">
        <f>IF(OR(BE$1=Assumptions!$B$115,BE$1=Assumptions!$C$115,BE$1=Assumptions!$D$115,BE$1=Assumptions!$E$115,BE$1=Assumptions!$F$115),Assumptions!$T$12*Assumptions!$C$102/Assumptions!$C$104,0)</f>
        <v>0</v>
      </c>
      <c r="BF40" s="132">
        <f>IF(OR(BF$1=Assumptions!$B$115,BF$1=Assumptions!$C$115,BF$1=Assumptions!$D$115,BF$1=Assumptions!$E$115,BF$1=Assumptions!$F$115),Assumptions!$T$12*Assumptions!$C$102/Assumptions!$C$104,0)</f>
        <v>0</v>
      </c>
      <c r="BG40" s="132">
        <f>IF(OR(BG$1=Assumptions!$B$115,BG$1=Assumptions!$C$115,BG$1=Assumptions!$D$115,BG$1=Assumptions!$E$115,BG$1=Assumptions!$F$115),Assumptions!$T$12*Assumptions!$C$102/Assumptions!$C$104,0)</f>
        <v>0</v>
      </c>
      <c r="BH40" s="132">
        <f>IF(OR(BH$1=Assumptions!$B$115,BH$1=Assumptions!$C$115,BH$1=Assumptions!$D$115,BH$1=Assumptions!$E$115,BH$1=Assumptions!$F$115),Assumptions!$T$12*Assumptions!$C$102/Assumptions!$C$104,0)</f>
        <v>0</v>
      </c>
      <c r="BI40" s="132">
        <f>IF(OR(BI$1=Assumptions!$B$115,BI$1=Assumptions!$C$115,BI$1=Assumptions!$D$115,BI$1=Assumptions!$E$115,BI$1=Assumptions!$F$115),Assumptions!$T$12*Assumptions!$C$102/Assumptions!$C$104,0)</f>
        <v>0</v>
      </c>
      <c r="BJ40" s="132">
        <f>IF(OR(BJ$1=Assumptions!$B$115,BJ$1=Assumptions!$C$115,BJ$1=Assumptions!$D$115,BJ$1=Assumptions!$E$115,BJ$1=Assumptions!$F$115),Assumptions!$T$12*Assumptions!$C$102/Assumptions!$C$104,0)</f>
        <v>0</v>
      </c>
      <c r="BK40" s="132">
        <f>IF(OR(BK$1=Assumptions!$B$115,BK$1=Assumptions!$C$115,BK$1=Assumptions!$D$115,BK$1=Assumptions!$E$115,BK$1=Assumptions!$F$115),Assumptions!$T$12*Assumptions!$C$102/Assumptions!$C$104,0)</f>
        <v>0</v>
      </c>
      <c r="BL40" s="132">
        <f>IF(OR(BL$1=Assumptions!$B$115,BL$1=Assumptions!$C$115,BL$1=Assumptions!$D$115,BL$1=Assumptions!$E$115,BL$1=Assumptions!$F$115),Assumptions!$T$12*Assumptions!$C$102/Assumptions!$C$104,0)</f>
        <v>0</v>
      </c>
      <c r="BM40" s="132">
        <f>IF(OR(BM$1=Assumptions!$B$115,BM$1=Assumptions!$C$115,BM$1=Assumptions!$D$115,BM$1=Assumptions!$E$115,BM$1=Assumptions!$F$115),Assumptions!$T$12*Assumptions!$C$102/Assumptions!$C$104,0)</f>
        <v>0</v>
      </c>
      <c r="BN40" s="132">
        <f>IF(OR(BN$1=Assumptions!$B$115,BN$1=Assumptions!$C$115,BN$1=Assumptions!$D$115,BN$1=Assumptions!$E$115,BN$1=Assumptions!$F$115),Assumptions!$T$12*Assumptions!$C$102/Assumptions!$C$104,0)</f>
        <v>0</v>
      </c>
      <c r="BO40" s="132">
        <f>IF(OR(BO$1=Assumptions!$B$115,BO$1=Assumptions!$C$115,BO$1=Assumptions!$D$115,BO$1=Assumptions!$E$115,BO$1=Assumptions!$F$115),Assumptions!$T$12*Assumptions!$C$102/Assumptions!$C$104,0)</f>
        <v>0</v>
      </c>
      <c r="BP40" s="132">
        <f>IF(OR(BP$1=Assumptions!$B$115,BP$1=Assumptions!$C$115,BP$1=Assumptions!$D$115,BP$1=Assumptions!$E$115,BP$1=Assumptions!$F$115),Assumptions!$T$12*Assumptions!$C$102/Assumptions!$C$104,0)</f>
        <v>0</v>
      </c>
      <c r="BQ40" s="132">
        <f>IF(OR(BQ$1=Assumptions!$B$115,BQ$1=Assumptions!$C$115,BQ$1=Assumptions!$D$115,BQ$1=Assumptions!$E$115,BQ$1=Assumptions!$F$115),Assumptions!$T$12*Assumptions!$C$102/Assumptions!$C$104,0)</f>
        <v>0</v>
      </c>
      <c r="BR40" s="132">
        <f>IF(OR(BR$1=Assumptions!$B$115,BR$1=Assumptions!$C$115,BR$1=Assumptions!$D$115,BR$1=Assumptions!$E$115,BR$1=Assumptions!$F$115),Assumptions!$T$12*Assumptions!$C$102/Assumptions!$C$104,0)</f>
        <v>0</v>
      </c>
      <c r="BS40" s="132">
        <f>IF(OR(BS$1=Assumptions!$B$115,BS$1=Assumptions!$C$115,BS$1=Assumptions!$D$115,BS$1=Assumptions!$E$115,BS$1=Assumptions!$F$115),Assumptions!$T$12*Assumptions!$C$102/Assumptions!$C$104,0)</f>
        <v>0</v>
      </c>
      <c r="BT40" s="132">
        <f>IF(OR(BT$1=Assumptions!$B$115,BT$1=Assumptions!$C$115,BT$1=Assumptions!$D$115,BT$1=Assumptions!$E$115,BT$1=Assumptions!$F$115),Assumptions!$T$12*Assumptions!$C$102/Assumptions!$C$104,0)</f>
        <v>0</v>
      </c>
      <c r="BU40" s="132">
        <f>IF(OR(BU$1=Assumptions!$B$115,BU$1=Assumptions!$C$115,BU$1=Assumptions!$D$115,BU$1=Assumptions!$E$115,BU$1=Assumptions!$F$115),Assumptions!$T$12*Assumptions!$C$102/Assumptions!$C$104,0)</f>
        <v>0</v>
      </c>
      <c r="BV40" s="132">
        <f>IF(OR(BV$1=Assumptions!$B$115,BV$1=Assumptions!$C$115,BV$1=Assumptions!$D$115,BV$1=Assumptions!$E$115,BV$1=Assumptions!$F$115),Assumptions!$T$12*Assumptions!$C$102/Assumptions!$C$104,0)</f>
        <v>0</v>
      </c>
      <c r="BW40" s="132">
        <f>IF(OR(BW$1=Assumptions!$B$115,BW$1=Assumptions!$C$115,BW$1=Assumptions!$D$115,BW$1=Assumptions!$E$115,BW$1=Assumptions!$F$115),Assumptions!$T$12*Assumptions!$C$102/Assumptions!$C$104,0)</f>
        <v>0</v>
      </c>
      <c r="BX40" s="132">
        <f>IF(OR(BX$1=Assumptions!$B$115,BX$1=Assumptions!$C$115,BX$1=Assumptions!$D$115,BX$1=Assumptions!$E$115,BX$1=Assumptions!$F$115),Assumptions!$T$12*Assumptions!$C$102/Assumptions!$C$104,0)</f>
        <v>0</v>
      </c>
      <c r="BY40" s="132">
        <f>IF(OR(BY$1=Assumptions!$B$115,BY$1=Assumptions!$C$115,BY$1=Assumptions!$D$115,BY$1=Assumptions!$E$115,BY$1=Assumptions!$F$115),Assumptions!$T$12*Assumptions!$C$102/Assumptions!$C$104,0)</f>
        <v>0</v>
      </c>
      <c r="BZ40" s="132">
        <f>IF(OR(BZ$1=Assumptions!$B$115,BZ$1=Assumptions!$C$115,BZ$1=Assumptions!$D$115,BZ$1=Assumptions!$E$115,BZ$1=Assumptions!$F$115),Assumptions!$T$12*Assumptions!$C$102/Assumptions!$C$104,0)</f>
        <v>0</v>
      </c>
      <c r="CA40" s="132">
        <f>IF(OR(CA$1=Assumptions!$B$115,CA$1=Assumptions!$C$115,CA$1=Assumptions!$D$115,CA$1=Assumptions!$E$115,CA$1=Assumptions!$F$115),Assumptions!$T$12*Assumptions!$C$102/Assumptions!$C$104,0)</f>
        <v>0</v>
      </c>
      <c r="CB40" s="132">
        <f>IF(OR(CB$1=Assumptions!$B$115,CB$1=Assumptions!$C$115,CB$1=Assumptions!$D$115,CB$1=Assumptions!$E$115,CB$1=Assumptions!$F$115),Assumptions!$T$12*Assumptions!$C$102/Assumptions!$C$104,0)</f>
        <v>0</v>
      </c>
      <c r="CC40" s="132">
        <f>IF(OR(CC$1=Assumptions!$B$115,CC$1=Assumptions!$C$115,CC$1=Assumptions!$D$115,CC$1=Assumptions!$E$115,CC$1=Assumptions!$F$115),Assumptions!$T$12*Assumptions!$C$102/Assumptions!$C$104,0)</f>
        <v>0</v>
      </c>
      <c r="CD40" s="132">
        <f>IF(OR(CD$1=Assumptions!$B$115,CD$1=Assumptions!$C$115,CD$1=Assumptions!$D$115,CD$1=Assumptions!$E$115,CD$1=Assumptions!$F$115),Assumptions!$T$12*Assumptions!$C$102/Assumptions!$C$104,0)</f>
        <v>0</v>
      </c>
      <c r="CE40" s="132">
        <f>IF(OR(CE$1=Assumptions!$B$115,CE$1=Assumptions!$C$115,CE$1=Assumptions!$D$115,CE$1=Assumptions!$E$115,CE$1=Assumptions!$F$115),Assumptions!$T$12*Assumptions!$C$102/Assumptions!$C$104,0)</f>
        <v>0</v>
      </c>
      <c r="CF40" s="132">
        <f>IF(OR(CF$1=Assumptions!$B$115,CF$1=Assumptions!$C$115,CF$1=Assumptions!$D$115,CF$1=Assumptions!$E$115,CF$1=Assumptions!$F$115),Assumptions!$T$12*Assumptions!$C$102/Assumptions!$C$104,0)</f>
        <v>0</v>
      </c>
      <c r="CG40" s="132">
        <f>IF(OR(CG$1=Assumptions!$B$115,CG$1=Assumptions!$C$115,CG$1=Assumptions!$D$115,CG$1=Assumptions!$E$115,CG$1=Assumptions!$F$115),Assumptions!$T$12*Assumptions!$C$102/Assumptions!$C$104,0)</f>
        <v>0</v>
      </c>
      <c r="CH40" s="132">
        <f>IF(OR(CH$1=Assumptions!$B$115,CH$1=Assumptions!$C$115,CH$1=Assumptions!$D$115,CH$1=Assumptions!$E$115,CH$1=Assumptions!$F$115),Assumptions!$T$12*Assumptions!$C$102/Assumptions!$C$104,0)</f>
        <v>0</v>
      </c>
      <c r="CI40" s="132">
        <f>IF(OR(CI$1=Assumptions!$B$115,CI$1=Assumptions!$C$115,CI$1=Assumptions!$D$115,CI$1=Assumptions!$E$115,CI$1=Assumptions!$F$115),Assumptions!$T$12*Assumptions!$C$102/Assumptions!$C$104,0)</f>
        <v>0</v>
      </c>
      <c r="CJ40" s="132">
        <f>IF(OR(CJ$1=Assumptions!$B$115,CJ$1=Assumptions!$C$115,CJ$1=Assumptions!$D$115,CJ$1=Assumptions!$E$115,CJ$1=Assumptions!$F$115),Assumptions!$T$12*Assumptions!$C$102/Assumptions!$C$104,0)</f>
        <v>0</v>
      </c>
      <c r="CK40" s="132">
        <f>IF(OR(CK$1=Assumptions!$B$115,CK$1=Assumptions!$C$115,CK$1=Assumptions!$D$115,CK$1=Assumptions!$E$115,CK$1=Assumptions!$F$115),Assumptions!$T$12*Assumptions!$C$102/Assumptions!$C$104,0)</f>
        <v>0</v>
      </c>
      <c r="CL40" s="132">
        <f>IF(OR(CL$1=Assumptions!$B$115,CL$1=Assumptions!$C$115,CL$1=Assumptions!$D$115,CL$1=Assumptions!$E$115,CL$1=Assumptions!$F$115),Assumptions!$T$12*Assumptions!$C$102/Assumptions!$C$104,0)</f>
        <v>0</v>
      </c>
      <c r="CM40" s="132">
        <f>IF(OR(CM$1=Assumptions!$B$115,CM$1=Assumptions!$C$115,CM$1=Assumptions!$D$115,CM$1=Assumptions!$E$115,CM$1=Assumptions!$F$115),Assumptions!$T$12*Assumptions!$C$102/Assumptions!$C$104,0)</f>
        <v>0</v>
      </c>
      <c r="CN40" s="132">
        <f>IF(OR(CN$1=Assumptions!$B$115,CN$1=Assumptions!$C$115,CN$1=Assumptions!$D$115,CN$1=Assumptions!$E$115,CN$1=Assumptions!$F$115),Assumptions!$T$12*Assumptions!$C$102/Assumptions!$C$104,0)</f>
        <v>0</v>
      </c>
      <c r="CO40" s="132">
        <f>IF(OR(CO$1=Assumptions!$B$115,CO$1=Assumptions!$C$115,CO$1=Assumptions!$D$115,CO$1=Assumptions!$E$115,CO$1=Assumptions!$F$115),Assumptions!$T$12*Assumptions!$C$102/Assumptions!$C$104,0)</f>
        <v>0</v>
      </c>
      <c r="CP40" s="132">
        <f>IF(OR(CP$1=Assumptions!$B$115,CP$1=Assumptions!$C$115,CP$1=Assumptions!$D$115,CP$1=Assumptions!$E$115,CP$1=Assumptions!$F$115),Assumptions!$T$12*Assumptions!$C$102/Assumptions!$C$104,0)</f>
        <v>0</v>
      </c>
      <c r="CQ40" s="132">
        <f>IF(OR(CQ$1=Assumptions!$B$115,CQ$1=Assumptions!$C$115,CQ$1=Assumptions!$D$115,CQ$1=Assumptions!$E$115,CQ$1=Assumptions!$F$115),Assumptions!$T$12*Assumptions!$C$102/Assumptions!$C$104,0)</f>
        <v>0</v>
      </c>
      <c r="CR40" s="132">
        <f>IF(OR(CR$1=Assumptions!$B$115,CR$1=Assumptions!$C$115,CR$1=Assumptions!$D$115,CR$1=Assumptions!$E$115,CR$1=Assumptions!$F$115),Assumptions!$T$12*Assumptions!$C$102/Assumptions!$C$104,0)</f>
        <v>0</v>
      </c>
      <c r="CS40" s="132">
        <f>IF(OR(CS$1=Assumptions!$B$115,CS$1=Assumptions!$C$115,CS$1=Assumptions!$D$115,CS$1=Assumptions!$E$115,CS$1=Assumptions!$F$115),Assumptions!$T$12*Assumptions!$C$102/Assumptions!$C$104,0)</f>
        <v>0</v>
      </c>
      <c r="CT40" s="132">
        <f>IF(OR(CT$1=Assumptions!$B$115,CT$1=Assumptions!$C$115,CT$1=Assumptions!$D$115,CT$1=Assumptions!$E$115,CT$1=Assumptions!$F$115),Assumptions!$T$12*Assumptions!$C$102/Assumptions!$C$104,0)</f>
        <v>0</v>
      </c>
      <c r="CU40" s="132">
        <f>IF(OR(CU$1=Assumptions!$B$115,CU$1=Assumptions!$C$115,CU$1=Assumptions!$D$115,CU$1=Assumptions!$E$115,CU$1=Assumptions!$F$115),Assumptions!$T$12*Assumptions!$C$102/Assumptions!$C$104,0)</f>
        <v>0</v>
      </c>
      <c r="CV40" s="132">
        <f>IF(OR(CV$1=Assumptions!$B$115,CV$1=Assumptions!$C$115,CV$1=Assumptions!$D$115,CV$1=Assumptions!$E$115,CV$1=Assumptions!$F$115),Assumptions!$T$12*Assumptions!$C$102/Assumptions!$C$104,0)</f>
        <v>0</v>
      </c>
      <c r="CW40" s="132">
        <f>IF(OR(CW$1=Assumptions!$B$115,CW$1=Assumptions!$C$115,CW$1=Assumptions!$D$115,CW$1=Assumptions!$E$115,CW$1=Assumptions!$F$115),Assumptions!$T$12*Assumptions!$C$102/Assumptions!$C$104,0)</f>
        <v>0</v>
      </c>
      <c r="CX40" s="132">
        <f>IF(OR(CX$1=Assumptions!$B$115,CX$1=Assumptions!$C$115,CX$1=Assumptions!$D$115,CX$1=Assumptions!$E$115,CX$1=Assumptions!$F$115),Assumptions!$T$12*Assumptions!$C$102/Assumptions!$C$104,0)</f>
        <v>0</v>
      </c>
      <c r="CY40" s="132">
        <f>IF(OR(CY$1=Assumptions!$B$115,CY$1=Assumptions!$C$115,CY$1=Assumptions!$D$115,CY$1=Assumptions!$E$115,CY$1=Assumptions!$F$115),Assumptions!$T$12*Assumptions!$C$102/Assumptions!$C$104,0)</f>
        <v>0</v>
      </c>
      <c r="CZ40" s="132">
        <f>IF(OR(CZ$1=Assumptions!$B$115,CZ$1=Assumptions!$C$115,CZ$1=Assumptions!$D$115,CZ$1=Assumptions!$E$115,CZ$1=Assumptions!$F$115),Assumptions!$T$12*Assumptions!$C$102/Assumptions!$C$104,0)</f>
        <v>0</v>
      </c>
      <c r="DA40" s="132">
        <f>IF(OR(DA$1=Assumptions!$B$115,DA$1=Assumptions!$C$115,DA$1=Assumptions!$D$115,DA$1=Assumptions!$E$115,DA$1=Assumptions!$F$115),Assumptions!$T$12*Assumptions!$C$102/Assumptions!$C$104,0)</f>
        <v>0</v>
      </c>
      <c r="DB40" s="132">
        <f>IF(OR(DB$1=Assumptions!$B$115,DB$1=Assumptions!$C$115,DB$1=Assumptions!$D$115,DB$1=Assumptions!$E$115,DB$1=Assumptions!$F$115),Assumptions!$T$12*Assumptions!$C$102/Assumptions!$C$104,0)</f>
        <v>0</v>
      </c>
      <c r="DC40" s="132">
        <f>IF(OR(DC$1=Assumptions!$B$115,DC$1=Assumptions!$C$115,DC$1=Assumptions!$D$115,DC$1=Assumptions!$E$115,DC$1=Assumptions!$F$115),Assumptions!$T$12*Assumptions!$C$102/Assumptions!$C$104,0)</f>
        <v>0</v>
      </c>
      <c r="DD40" s="132">
        <f>IF(OR(DD$1=Assumptions!$B$115,DD$1=Assumptions!$C$115,DD$1=Assumptions!$D$115,DD$1=Assumptions!$E$115,DD$1=Assumptions!$F$115),Assumptions!$T$12*Assumptions!$C$102/Assumptions!$C$104,0)</f>
        <v>0</v>
      </c>
      <c r="DE40" s="132">
        <f>IF(OR(DE$1=Assumptions!$B$115,DE$1=Assumptions!$C$115,DE$1=Assumptions!$D$115,DE$1=Assumptions!$E$115,DE$1=Assumptions!$F$115),Assumptions!$T$12*Assumptions!$C$102/Assumptions!$C$104,0)</f>
        <v>0</v>
      </c>
      <c r="DF40" s="132">
        <f>IF(OR(DF$1=Assumptions!$B$115,DF$1=Assumptions!$C$115,DF$1=Assumptions!$D$115,DF$1=Assumptions!$E$115,DF$1=Assumptions!$F$115),Assumptions!$T$12*Assumptions!$C$102/Assumptions!$C$104,0)</f>
        <v>0</v>
      </c>
      <c r="DG40" s="132">
        <f>IF(OR(DG$1=Assumptions!$B$115,DG$1=Assumptions!$C$115,DG$1=Assumptions!$D$115,DG$1=Assumptions!$E$115,DG$1=Assumptions!$F$115),Assumptions!$T$12*Assumptions!$C$102/Assumptions!$C$104,0)</f>
        <v>0</v>
      </c>
      <c r="DH40" s="132">
        <f>IF(OR(DH$1=Assumptions!$B$115,DH$1=Assumptions!$C$115,DH$1=Assumptions!$D$115,DH$1=Assumptions!$E$115,DH$1=Assumptions!$F$115),Assumptions!$T$12*Assumptions!$C$102/Assumptions!$C$104,0)</f>
        <v>0</v>
      </c>
      <c r="DI40" s="132">
        <f>IF(OR(DI$1=Assumptions!$B$115,DI$1=Assumptions!$C$115,DI$1=Assumptions!$D$115,DI$1=Assumptions!$E$115,DI$1=Assumptions!$F$115),Assumptions!$T$12*Assumptions!$C$102/Assumptions!$C$104,0)</f>
        <v>0</v>
      </c>
      <c r="DJ40" s="132">
        <f>IF(OR(DJ$1=Assumptions!$B$115,DJ$1=Assumptions!$C$115,DJ$1=Assumptions!$D$115,DJ$1=Assumptions!$E$115,DJ$1=Assumptions!$F$115),Assumptions!$T$12*Assumptions!$C$102/Assumptions!$C$104,0)</f>
        <v>0</v>
      </c>
      <c r="DK40" s="132">
        <f>IF(OR(DK$1=Assumptions!$B$115,DK$1=Assumptions!$C$115,DK$1=Assumptions!$D$115,DK$1=Assumptions!$E$115,DK$1=Assumptions!$F$115),Assumptions!$T$12*Assumptions!$C$102/Assumptions!$C$104,0)</f>
        <v>0</v>
      </c>
      <c r="DL40" s="132">
        <f>IF(OR(DL$1=Assumptions!$B$115,DL$1=Assumptions!$C$115,DL$1=Assumptions!$D$115,DL$1=Assumptions!$E$115,DL$1=Assumptions!$F$115),Assumptions!$T$12*Assumptions!$C$102/Assumptions!$C$104,0)</f>
        <v>0</v>
      </c>
      <c r="DM40" s="132">
        <f>IF(OR(DM$1=Assumptions!$B$115,DM$1=Assumptions!$C$115,DM$1=Assumptions!$D$115,DM$1=Assumptions!$E$115,DM$1=Assumptions!$F$115),Assumptions!$T$12*Assumptions!$C$102/Assumptions!$C$104,0)</f>
        <v>0</v>
      </c>
      <c r="DN40" s="132">
        <f>IF(OR(DN$1=Assumptions!$B$115,DN$1=Assumptions!$C$115,DN$1=Assumptions!$D$115,DN$1=Assumptions!$E$115,DN$1=Assumptions!$F$115),Assumptions!$T$12*Assumptions!$C$102/Assumptions!$C$104,0)</f>
        <v>0</v>
      </c>
      <c r="DO40" s="132">
        <f>IF(OR(DO$1=Assumptions!$B$115,DO$1=Assumptions!$C$115,DO$1=Assumptions!$D$115,DO$1=Assumptions!$E$115,DO$1=Assumptions!$F$115),Assumptions!$T$12*Assumptions!$C$102/Assumptions!$C$104,0)</f>
        <v>0</v>
      </c>
      <c r="DP40" s="132">
        <f>IF(OR(DP$1=Assumptions!$B$115,DP$1=Assumptions!$C$115,DP$1=Assumptions!$D$115,DP$1=Assumptions!$E$115,DP$1=Assumptions!$F$115),Assumptions!$T$12*Assumptions!$C$102/Assumptions!$C$104,0)</f>
        <v>0</v>
      </c>
      <c r="DQ40" s="132">
        <f>IF(OR(DQ$1=Assumptions!$B$115,DQ$1=Assumptions!$C$115,DQ$1=Assumptions!$D$115,DQ$1=Assumptions!$E$115,DQ$1=Assumptions!$F$115),Assumptions!$T$12*Assumptions!$C$102/Assumptions!$C$104,0)</f>
        <v>0</v>
      </c>
      <c r="DR40" s="132">
        <f>IF(OR(DR$1=Assumptions!$B$115,DR$1=Assumptions!$C$115,DR$1=Assumptions!$D$115,DR$1=Assumptions!$E$115,DR$1=Assumptions!$F$115),Assumptions!$T$12*Assumptions!$C$102/Assumptions!$C$104,0)</f>
        <v>0</v>
      </c>
      <c r="DS40" s="132">
        <f>IF(OR(DS$1=Assumptions!$B$115,DS$1=Assumptions!$C$115,DS$1=Assumptions!$D$115,DS$1=Assumptions!$E$115,DS$1=Assumptions!$F$115),Assumptions!$T$12*Assumptions!$C$102/Assumptions!$C$104,0)</f>
        <v>0</v>
      </c>
      <c r="DT40" s="132">
        <f>IF(OR(DT$1=Assumptions!$B$115,DT$1=Assumptions!$C$115,DT$1=Assumptions!$D$115,DT$1=Assumptions!$E$115,DT$1=Assumptions!$F$115),Assumptions!$T$12*Assumptions!$C$102/Assumptions!$C$104,0)</f>
        <v>0</v>
      </c>
      <c r="DU40" s="132">
        <f>IF(OR(DU$1=Assumptions!$B$115,DU$1=Assumptions!$C$115,DU$1=Assumptions!$D$115,DU$1=Assumptions!$E$115,DU$1=Assumptions!$F$115),Assumptions!$T$12*Assumptions!$C$102/Assumptions!$C$104,0)</f>
        <v>0</v>
      </c>
      <c r="DV40" s="132">
        <f>IF(OR(DV$1=Assumptions!$B$115,DV$1=Assumptions!$C$115,DV$1=Assumptions!$D$115,DV$1=Assumptions!$E$115,DV$1=Assumptions!$F$115),Assumptions!$T$12*Assumptions!$C$102/Assumptions!$C$104,0)</f>
        <v>0</v>
      </c>
      <c r="DW40" s="132">
        <f>IF(OR(DW$1=Assumptions!$B$115,DW$1=Assumptions!$C$115,DW$1=Assumptions!$D$115,DW$1=Assumptions!$E$115,DW$1=Assumptions!$F$115),Assumptions!$T$12*Assumptions!$C$102/Assumptions!$C$104,0)</f>
        <v>0</v>
      </c>
      <c r="DX40" s="132">
        <f>IF(OR(DX$1=Assumptions!$B$115,DX$1=Assumptions!$C$115,DX$1=Assumptions!$D$115,DX$1=Assumptions!$E$115,DX$1=Assumptions!$F$115),Assumptions!$T$12*Assumptions!$C$102/Assumptions!$C$104,0)</f>
        <v>0</v>
      </c>
      <c r="DY40" s="132">
        <f>IF(OR(DY$1=Assumptions!$B$115,DY$1=Assumptions!$C$115,DY$1=Assumptions!$D$115,DY$1=Assumptions!$E$115,DY$1=Assumptions!$F$115),Assumptions!$T$12*Assumptions!$C$102/Assumptions!$C$104,0)</f>
        <v>0</v>
      </c>
      <c r="DZ40" s="132">
        <f>IF(OR(DZ$1=Assumptions!$B$115,DZ$1=Assumptions!$C$115,DZ$1=Assumptions!$D$115,DZ$1=Assumptions!$E$115,DZ$1=Assumptions!$F$115),Assumptions!$T$12*Assumptions!$C$102/Assumptions!$C$104,0)</f>
        <v>0</v>
      </c>
      <c r="EA40" s="132">
        <f>IF(OR(EA$1=Assumptions!$B$115,EA$1=Assumptions!$C$115,EA$1=Assumptions!$D$115,EA$1=Assumptions!$E$115,EA$1=Assumptions!$F$115),Assumptions!$T$12*Assumptions!$C$102/Assumptions!$C$104,0)</f>
        <v>0</v>
      </c>
      <c r="EB40" s="132">
        <f>IF(OR(EB$1=Assumptions!$B$115,EB$1=Assumptions!$C$115,EB$1=Assumptions!$D$115,EB$1=Assumptions!$E$115,EB$1=Assumptions!$F$115),Assumptions!$T$12*Assumptions!$C$102/Assumptions!$C$104,0)</f>
        <v>0</v>
      </c>
      <c r="EC40" s="132">
        <f>IF(OR(EC$1=Assumptions!$B$115,EC$1=Assumptions!$C$115,EC$1=Assumptions!$D$115,EC$1=Assumptions!$E$115,EC$1=Assumptions!$F$115),Assumptions!$T$12*Assumptions!$C$102/Assumptions!$C$104,0)</f>
        <v>0</v>
      </c>
      <c r="ED40" s="132">
        <f>IF(OR(ED$1=Assumptions!$B$115,ED$1=Assumptions!$C$115,ED$1=Assumptions!$D$115,ED$1=Assumptions!$E$115,ED$1=Assumptions!$F$115),Assumptions!$T$12*Assumptions!$C$102/Assumptions!$C$104,0)</f>
        <v>0</v>
      </c>
      <c r="EE40" s="132">
        <f>IF(OR(EE$1=Assumptions!$B$115,EE$1=Assumptions!$C$115,EE$1=Assumptions!$D$115,EE$1=Assumptions!$E$115,EE$1=Assumptions!$F$115),Assumptions!$T$12*Assumptions!$C$102/Assumptions!$C$104,0)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9" t="s">
        <v>85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171</v>
      </c>
      <c r="D43" s="54">
        <f>Assumptions!X42</f>
        <v>7858163.595</v>
      </c>
      <c r="E43" s="54">
        <f t="shared" ref="E43:EE43" si="8">D47</f>
        <v>7858163.595</v>
      </c>
      <c r="F43" s="54">
        <f t="shared" si="8"/>
        <v>7858163.595</v>
      </c>
      <c r="G43" s="54">
        <f t="shared" si="8"/>
        <v>7858163.595</v>
      </c>
      <c r="H43" s="54">
        <f t="shared" si="8"/>
        <v>7858163.595</v>
      </c>
      <c r="I43" s="54">
        <f t="shared" si="8"/>
        <v>7858163.595</v>
      </c>
      <c r="J43" s="54">
        <f t="shared" si="8"/>
        <v>7858163.595</v>
      </c>
      <c r="K43" s="54">
        <f t="shared" si="8"/>
        <v>7858163.595</v>
      </c>
      <c r="L43" s="54">
        <f t="shared" si="8"/>
        <v>7858163.595</v>
      </c>
      <c r="M43" s="54">
        <f t="shared" si="8"/>
        <v>7858163.595</v>
      </c>
      <c r="N43" s="54">
        <f t="shared" si="8"/>
        <v>7858163.595</v>
      </c>
      <c r="O43" s="54">
        <f t="shared" si="8"/>
        <v>7858163.595</v>
      </c>
      <c r="P43" s="54">
        <f t="shared" si="8"/>
        <v>7858163.595</v>
      </c>
      <c r="Q43" s="54">
        <f t="shared" si="8"/>
        <v>7858163.595</v>
      </c>
      <c r="R43" s="54">
        <f t="shared" si="8"/>
        <v>7858163.595</v>
      </c>
      <c r="S43" s="54">
        <f t="shared" si="8"/>
        <v>7858163.595</v>
      </c>
      <c r="T43" s="54">
        <f t="shared" si="8"/>
        <v>7858163.595</v>
      </c>
      <c r="U43" s="54">
        <f t="shared" si="8"/>
        <v>7858163.595</v>
      </c>
      <c r="V43" s="54">
        <f t="shared" si="8"/>
        <v>7858163.595</v>
      </c>
      <c r="W43" s="54">
        <f t="shared" si="8"/>
        <v>7858163.595</v>
      </c>
      <c r="X43" s="54">
        <f t="shared" si="8"/>
        <v>7858163.595</v>
      </c>
      <c r="Y43" s="54">
        <f t="shared" si="8"/>
        <v>7858163.595</v>
      </c>
      <c r="Z43" s="54">
        <f t="shared" si="8"/>
        <v>7858163.595</v>
      </c>
      <c r="AA43" s="54">
        <f t="shared" si="8"/>
        <v>7858163.595</v>
      </c>
      <c r="AB43" s="54">
        <f t="shared" si="8"/>
        <v>7858163.595</v>
      </c>
      <c r="AC43" s="54">
        <f t="shared" si="8"/>
        <v>7858163.595</v>
      </c>
      <c r="AD43" s="54">
        <f t="shared" si="8"/>
        <v>7858163.595</v>
      </c>
      <c r="AE43" s="54">
        <f t="shared" si="8"/>
        <v>7858163.595</v>
      </c>
      <c r="AF43" s="54">
        <f t="shared" si="8"/>
        <v>7858163.595</v>
      </c>
      <c r="AG43" s="54">
        <f t="shared" si="8"/>
        <v>7858163.595</v>
      </c>
      <c r="AH43" s="54">
        <f t="shared" si="8"/>
        <v>7858163.595</v>
      </c>
      <c r="AI43" s="54">
        <f t="shared" si="8"/>
        <v>7858163.595</v>
      </c>
      <c r="AJ43" s="54">
        <f t="shared" si="8"/>
        <v>7858163.595</v>
      </c>
      <c r="AK43" s="54">
        <f t="shared" si="8"/>
        <v>7858163.595</v>
      </c>
      <c r="AL43" s="54">
        <f t="shared" si="8"/>
        <v>7858163.595</v>
      </c>
      <c r="AM43" s="54">
        <f t="shared" si="8"/>
        <v>7858163.595</v>
      </c>
      <c r="AN43" s="54">
        <f t="shared" si="8"/>
        <v>7858163.595</v>
      </c>
      <c r="AO43" s="54">
        <f t="shared" si="8"/>
        <v>7849849.634</v>
      </c>
      <c r="AP43" s="54">
        <f t="shared" si="8"/>
        <v>7841496.32</v>
      </c>
      <c r="AQ43" s="54">
        <f t="shared" si="8"/>
        <v>7833103.468</v>
      </c>
      <c r="AR43" s="54">
        <f t="shared" si="8"/>
        <v>7824670.889</v>
      </c>
      <c r="AS43" s="54">
        <f t="shared" si="8"/>
        <v>7816198.396</v>
      </c>
      <c r="AT43" s="54">
        <f t="shared" si="8"/>
        <v>7807685.8</v>
      </c>
      <c r="AU43" s="54">
        <f t="shared" si="8"/>
        <v>7799132.911</v>
      </c>
      <c r="AV43" s="54">
        <f t="shared" si="8"/>
        <v>7790539.538</v>
      </c>
      <c r="AW43" s="54">
        <f t="shared" si="8"/>
        <v>7781905.49</v>
      </c>
      <c r="AX43" s="54">
        <f t="shared" si="8"/>
        <v>7773230.574</v>
      </c>
      <c r="AY43" s="54">
        <f t="shared" si="8"/>
        <v>7764514.597</v>
      </c>
      <c r="AZ43" s="54">
        <f t="shared" si="8"/>
        <v>7755757.365</v>
      </c>
      <c r="BA43" s="54">
        <f t="shared" si="8"/>
        <v>7746958.681</v>
      </c>
      <c r="BB43" s="54">
        <f t="shared" si="8"/>
        <v>7738118.35</v>
      </c>
      <c r="BC43" s="54">
        <f t="shared" si="8"/>
        <v>7729236.175</v>
      </c>
      <c r="BD43" s="54">
        <f t="shared" si="8"/>
        <v>7720311.958</v>
      </c>
      <c r="BE43" s="54">
        <f t="shared" si="8"/>
        <v>7711345.499</v>
      </c>
      <c r="BF43" s="54">
        <f t="shared" si="8"/>
        <v>7702336.6</v>
      </c>
      <c r="BG43" s="54">
        <f t="shared" si="8"/>
        <v>7693285.058</v>
      </c>
      <c r="BH43" s="54">
        <f t="shared" si="8"/>
        <v>7684190.672</v>
      </c>
      <c r="BI43" s="54">
        <f t="shared" si="8"/>
        <v>7675053.239</v>
      </c>
      <c r="BJ43" s="54">
        <f t="shared" si="8"/>
        <v>7665872.556</v>
      </c>
      <c r="BK43" s="54">
        <f t="shared" si="8"/>
        <v>7656648.418</v>
      </c>
      <c r="BL43" s="54">
        <f t="shared" si="8"/>
        <v>7647380.618</v>
      </c>
      <c r="BM43" s="54">
        <f t="shared" si="8"/>
        <v>7638068.951</v>
      </c>
      <c r="BN43" s="54">
        <f t="shared" si="8"/>
        <v>7628713.209</v>
      </c>
      <c r="BO43" s="54">
        <f t="shared" si="8"/>
        <v>7619313.183</v>
      </c>
      <c r="BP43" s="54">
        <f t="shared" si="8"/>
        <v>7609868.664</v>
      </c>
      <c r="BQ43" s="54">
        <f t="shared" si="8"/>
        <v>7600379.44</v>
      </c>
      <c r="BR43" s="54">
        <f t="shared" si="8"/>
        <v>7590845.301</v>
      </c>
      <c r="BS43" s="54">
        <f t="shared" si="8"/>
        <v>7581266.034</v>
      </c>
      <c r="BT43" s="54">
        <f t="shared" si="8"/>
        <v>7571641.424</v>
      </c>
      <c r="BU43" s="54">
        <f t="shared" si="8"/>
        <v>7561971.259</v>
      </c>
      <c r="BV43" s="54">
        <f t="shared" si="8"/>
        <v>7552255.321</v>
      </c>
      <c r="BW43" s="54">
        <f t="shared" si="8"/>
        <v>7542493.394</v>
      </c>
      <c r="BX43" s="54">
        <f t="shared" si="8"/>
        <v>7532685.261</v>
      </c>
      <c r="BY43" s="54">
        <f t="shared" si="8"/>
        <v>7522830.703</v>
      </c>
      <c r="BZ43" s="54">
        <f t="shared" si="8"/>
        <v>7512929.5</v>
      </c>
      <c r="CA43" s="54">
        <f t="shared" si="8"/>
        <v>7502981.431</v>
      </c>
      <c r="CB43" s="54">
        <f t="shared" si="8"/>
        <v>7492986.274</v>
      </c>
      <c r="CC43" s="54">
        <f t="shared" si="8"/>
        <v>7482943.808</v>
      </c>
      <c r="CD43" s="54">
        <f t="shared" si="8"/>
        <v>7472853.806</v>
      </c>
      <c r="CE43" s="54">
        <f t="shared" si="8"/>
        <v>7462716.046</v>
      </c>
      <c r="CF43" s="54">
        <f t="shared" si="8"/>
        <v>7452530.3</v>
      </c>
      <c r="CG43" s="54">
        <f t="shared" si="8"/>
        <v>7442296.342</v>
      </c>
      <c r="CH43" s="54">
        <f t="shared" si="8"/>
        <v>7432013.943</v>
      </c>
      <c r="CI43" s="54">
        <f t="shared" si="8"/>
        <v>7421682.873</v>
      </c>
      <c r="CJ43" s="54">
        <f t="shared" si="8"/>
        <v>7411302.904</v>
      </c>
      <c r="CK43" s="54">
        <f t="shared" si="8"/>
        <v>7400873.802</v>
      </c>
      <c r="CL43" s="54">
        <f t="shared" si="8"/>
        <v>7390395.337</v>
      </c>
      <c r="CM43" s="54">
        <f t="shared" si="8"/>
        <v>7379867.273</v>
      </c>
      <c r="CN43" s="54">
        <f t="shared" si="8"/>
        <v>7369289.376</v>
      </c>
      <c r="CO43" s="54">
        <f t="shared" si="8"/>
        <v>7358661.41</v>
      </c>
      <c r="CP43" s="54">
        <f t="shared" si="8"/>
        <v>7347983.139</v>
      </c>
      <c r="CQ43" s="54">
        <f t="shared" si="8"/>
        <v>7337254.324</v>
      </c>
      <c r="CR43" s="54">
        <f t="shared" si="8"/>
        <v>7326474.726</v>
      </c>
      <c r="CS43" s="54">
        <f t="shared" si="8"/>
        <v>7315644.105</v>
      </c>
      <c r="CT43" s="54">
        <f t="shared" si="8"/>
        <v>7304762.218</v>
      </c>
      <c r="CU43" s="54">
        <f t="shared" si="8"/>
        <v>7293828.824</v>
      </c>
      <c r="CV43" s="54">
        <f t="shared" si="8"/>
        <v>7282843.679</v>
      </c>
      <c r="CW43" s="54">
        <f t="shared" si="8"/>
        <v>7271806.537</v>
      </c>
      <c r="CX43" s="54">
        <f t="shared" si="8"/>
        <v>7260717.153</v>
      </c>
      <c r="CY43" s="54">
        <f t="shared" si="8"/>
        <v>7249575.279</v>
      </c>
      <c r="CZ43" s="54">
        <f t="shared" si="8"/>
        <v>7238380.667</v>
      </c>
      <c r="DA43" s="54">
        <f t="shared" si="8"/>
        <v>7227133.067</v>
      </c>
      <c r="DB43" s="54">
        <f t="shared" si="8"/>
        <v>7215832.228</v>
      </c>
      <c r="DC43" s="54">
        <f t="shared" si="8"/>
        <v>7204477.899</v>
      </c>
      <c r="DD43" s="54">
        <f t="shared" si="8"/>
        <v>7193069.826</v>
      </c>
      <c r="DE43" s="54">
        <f t="shared" si="8"/>
        <v>7181607.755</v>
      </c>
      <c r="DF43" s="54">
        <f t="shared" si="8"/>
        <v>7170091.429</v>
      </c>
      <c r="DG43" s="54">
        <f t="shared" si="8"/>
        <v>7158520.594</v>
      </c>
      <c r="DH43" s="54">
        <f t="shared" si="8"/>
        <v>7146894.989</v>
      </c>
      <c r="DI43" s="54">
        <f t="shared" si="8"/>
        <v>7135214.357</v>
      </c>
      <c r="DJ43" s="54">
        <f t="shared" si="8"/>
        <v>7123478.437</v>
      </c>
      <c r="DK43" s="54">
        <f t="shared" si="8"/>
        <v>7111686.966</v>
      </c>
      <c r="DL43" s="54">
        <f t="shared" si="8"/>
        <v>7099839.683</v>
      </c>
      <c r="DM43" s="54">
        <f t="shared" si="8"/>
        <v>7087936.322</v>
      </c>
      <c r="DN43" s="54">
        <f t="shared" si="8"/>
        <v>7075976.619</v>
      </c>
      <c r="DO43" s="54">
        <f t="shared" si="8"/>
        <v>7063960.306</v>
      </c>
      <c r="DP43" s="54">
        <f t="shared" si="8"/>
        <v>7051887.116</v>
      </c>
      <c r="DQ43" s="54">
        <f t="shared" si="8"/>
        <v>7039756.78</v>
      </c>
      <c r="DR43" s="54">
        <f t="shared" si="8"/>
        <v>7027569.027</v>
      </c>
      <c r="DS43" s="54">
        <f t="shared" si="8"/>
        <v>7015323.585</v>
      </c>
      <c r="DT43" s="54">
        <f t="shared" si="8"/>
        <v>7003020.182</v>
      </c>
      <c r="DU43" s="54">
        <f t="shared" si="8"/>
        <v>6990658.542</v>
      </c>
      <c r="DV43" s="54">
        <f t="shared" si="8"/>
        <v>6978238.391</v>
      </c>
      <c r="DW43" s="54">
        <f t="shared" si="8"/>
        <v>6965759.451</v>
      </c>
      <c r="DX43" s="54">
        <f t="shared" si="8"/>
        <v>6953221.444</v>
      </c>
      <c r="DY43" s="54">
        <f t="shared" si="8"/>
        <v>6940624.09</v>
      </c>
      <c r="DZ43" s="54">
        <f t="shared" si="8"/>
        <v>6927967.109</v>
      </c>
      <c r="EA43" s="54">
        <f t="shared" si="8"/>
        <v>6915250.218</v>
      </c>
      <c r="EB43" s="54">
        <f t="shared" si="8"/>
        <v>6902473.134</v>
      </c>
      <c r="EC43" s="54">
        <f t="shared" si="8"/>
        <v>6889635.572</v>
      </c>
      <c r="ED43" s="54">
        <f t="shared" si="8"/>
        <v>6876737.245</v>
      </c>
      <c r="EE43" s="54">
        <f t="shared" si="8"/>
        <v>6863777.866</v>
      </c>
    </row>
    <row r="44" ht="15.75" customHeight="1">
      <c r="A44" s="1"/>
      <c r="B44" s="1"/>
      <c r="C44" s="1" t="s">
        <v>172</v>
      </c>
      <c r="D44" s="54">
        <f>(D43*Assumptions!$X44/12)*IF(D1&gt;Assumptions!$X$47,1,0)</f>
        <v>0</v>
      </c>
      <c r="E44" s="54">
        <f>(E43*Assumptions!$X44/12)*IF(E1&gt;Assumptions!$X$47,1,0)</f>
        <v>0</v>
      </c>
      <c r="F44" s="54">
        <f>(F43*Assumptions!$X44/12)*IF(F1&gt;Assumptions!$X$47,1,0)</f>
        <v>0</v>
      </c>
      <c r="G44" s="54">
        <f>(G43*Assumptions!$X44/12)*IF(G1&gt;Assumptions!$X$47,1,0)</f>
        <v>0</v>
      </c>
      <c r="H44" s="54">
        <f>(H43*Assumptions!$X44/12)*IF(H1&gt;Assumptions!$X$47,1,0)</f>
        <v>0</v>
      </c>
      <c r="I44" s="54">
        <f>(I43*Assumptions!$X44/12)*IF(I1&gt;Assumptions!$X$47,1,0)</f>
        <v>0</v>
      </c>
      <c r="J44" s="54">
        <f>(J43*Assumptions!$X44/12)*IF(J1&gt;Assumptions!$X$47,1,0)</f>
        <v>0</v>
      </c>
      <c r="K44" s="54">
        <f>(K43*Assumptions!$X44/12)*IF(K1&gt;Assumptions!$X$47,1,0)</f>
        <v>0</v>
      </c>
      <c r="L44" s="54">
        <f>(L43*Assumptions!$X44/12)*IF(L1&gt;Assumptions!$X$47,1,0)</f>
        <v>0</v>
      </c>
      <c r="M44" s="54">
        <f>(M43*Assumptions!$X44/12)*IF(M1&gt;Assumptions!$X$47,1,0)</f>
        <v>0</v>
      </c>
      <c r="N44" s="54">
        <f>(N43*Assumptions!$X44/12)*IF(N1&gt;Assumptions!$X$47,1,0)</f>
        <v>0</v>
      </c>
      <c r="O44" s="54">
        <f>(O43*Assumptions!$X44/12)*IF(O1&gt;Assumptions!$X$47,1,0)</f>
        <v>0</v>
      </c>
      <c r="P44" s="54">
        <f>(P43*Assumptions!$X44/12)*IF(P1&gt;Assumptions!$X$47,1,0)</f>
        <v>0</v>
      </c>
      <c r="Q44" s="54">
        <f>(Q43*Assumptions!$X44/12)*IF(Q1&gt;Assumptions!$X$47,1,0)</f>
        <v>0</v>
      </c>
      <c r="R44" s="54">
        <f>(R43*Assumptions!$X44/12)*IF(R1&gt;Assumptions!$X$47,1,0)</f>
        <v>0</v>
      </c>
      <c r="S44" s="54">
        <f>(S43*Assumptions!$X44/12)*IF(S1&gt;Assumptions!$X$47,1,0)</f>
        <v>0</v>
      </c>
      <c r="T44" s="54">
        <f>(T43*Assumptions!$X44/12)*IF(T1&gt;Assumptions!$X$47,1,0)</f>
        <v>0</v>
      </c>
      <c r="U44" s="54">
        <f>(U43*Assumptions!$X44/12)*IF(U1&gt;Assumptions!$X$47,1,0)</f>
        <v>0</v>
      </c>
      <c r="V44" s="54">
        <f>(V43*Assumptions!$X44/12)*IF(V1&gt;Assumptions!$X$47,1,0)</f>
        <v>0</v>
      </c>
      <c r="W44" s="54">
        <f>(W43*Assumptions!$X44/12)*IF(W1&gt;Assumptions!$X$47,1,0)</f>
        <v>0</v>
      </c>
      <c r="X44" s="54">
        <f>(X43*Assumptions!$X44/12)*IF(X1&gt;Assumptions!$X$47,1,0)</f>
        <v>0</v>
      </c>
      <c r="Y44" s="54">
        <f>(Y43*Assumptions!$X44/12)*IF(Y1&gt;Assumptions!$X$47,1,0)</f>
        <v>0</v>
      </c>
      <c r="Z44" s="54">
        <f>(Z43*Assumptions!$X44/12)*IF(Z1&gt;Assumptions!$X$47,1,0)</f>
        <v>0</v>
      </c>
      <c r="AA44" s="54">
        <f>(AA43*Assumptions!$X44/12)*IF(AA1&gt;Assumptions!$X$47,1,0)</f>
        <v>0</v>
      </c>
      <c r="AB44" s="54">
        <f>(AB43*Assumptions!$X44/12)*IF(AB1&gt;Assumptions!$X$47,1,0)</f>
        <v>0</v>
      </c>
      <c r="AC44" s="54">
        <f>(AC43*Assumptions!$X44/12)*IF(AC1&gt;Assumptions!$X$47,1,0)</f>
        <v>0</v>
      </c>
      <c r="AD44" s="54">
        <f>(AD43*Assumptions!$X44/12)*IF(AD1&gt;Assumptions!$X$47,1,0)</f>
        <v>0</v>
      </c>
      <c r="AE44" s="54">
        <f>(AE43*Assumptions!$X44/12)*IF(AE1&gt;Assumptions!$X$47,1,0)</f>
        <v>0</v>
      </c>
      <c r="AF44" s="54">
        <f>(AF43*Assumptions!$X44/12)*IF(AF1&gt;Assumptions!$X$47,1,0)</f>
        <v>0</v>
      </c>
      <c r="AG44" s="54">
        <f>(AG43*Assumptions!$X44/12)*IF(AG1&gt;Assumptions!$X$47,1,0)</f>
        <v>0</v>
      </c>
      <c r="AH44" s="54">
        <f>(AH43*Assumptions!$X44/12)*IF(AH1&gt;Assumptions!$X$47,1,0)</f>
        <v>0</v>
      </c>
      <c r="AI44" s="54">
        <f>(AI43*Assumptions!$X44/12)*IF(AI1&gt;Assumptions!$X$47,1,0)</f>
        <v>0</v>
      </c>
      <c r="AJ44" s="54">
        <f>(AJ43*Assumptions!$X44/12)*IF(AJ1&gt;Assumptions!$X$47,1,0)</f>
        <v>0</v>
      </c>
      <c r="AK44" s="54">
        <f>(AK43*Assumptions!$X44/12)*IF(AK1&gt;Assumptions!$X$47,1,0)</f>
        <v>0</v>
      </c>
      <c r="AL44" s="54">
        <f>(AL43*Assumptions!$X44/12)*IF(AL1&gt;Assumptions!$X$47,1,0)</f>
        <v>0</v>
      </c>
      <c r="AM44" s="54">
        <f>(AM43*Assumptions!$X44/12)*IF(AM1&gt;Assumptions!$X$47,1,0)</f>
        <v>0</v>
      </c>
      <c r="AN44" s="54">
        <f>(AN43*Assumptions!$X44/12)*IF(AN1&gt;Assumptions!$X$47,1,0)</f>
        <v>37195.30768</v>
      </c>
      <c r="AO44" s="54">
        <f>(AO43*Assumptions!$X44/12)*IF(AO1&gt;Assumptions!$X$47,1,0)</f>
        <v>37155.95493</v>
      </c>
      <c r="AP44" s="54">
        <f>(AP43*Assumptions!$X44/12)*IF(AP1&gt;Assumptions!$X$47,1,0)</f>
        <v>37116.41592</v>
      </c>
      <c r="AQ44" s="54">
        <f>(AQ43*Assumptions!$X44/12)*IF(AQ1&gt;Assumptions!$X$47,1,0)</f>
        <v>37076.68975</v>
      </c>
      <c r="AR44" s="54">
        <f>(AR43*Assumptions!$X44/12)*IF(AR1&gt;Assumptions!$X$47,1,0)</f>
        <v>37036.77554</v>
      </c>
      <c r="AS44" s="54">
        <f>(AS43*Assumptions!$X44/12)*IF(AS1&gt;Assumptions!$X$47,1,0)</f>
        <v>36996.67241</v>
      </c>
      <c r="AT44" s="54">
        <f>(AT43*Assumptions!$X44/12)*IF(AT1&gt;Assumptions!$X$47,1,0)</f>
        <v>36956.37945</v>
      </c>
      <c r="AU44" s="54">
        <f>(AU43*Assumptions!$X44/12)*IF(AU1&gt;Assumptions!$X$47,1,0)</f>
        <v>36915.89578</v>
      </c>
      <c r="AV44" s="54">
        <f>(AV43*Assumptions!$X44/12)*IF(AV1&gt;Assumptions!$X$47,1,0)</f>
        <v>36875.22048</v>
      </c>
      <c r="AW44" s="54">
        <f>(AW43*Assumptions!$X44/12)*IF(AW1&gt;Assumptions!$X$47,1,0)</f>
        <v>36834.35265</v>
      </c>
      <c r="AX44" s="54">
        <f>(AX43*Assumptions!$X44/12)*IF(AX1&gt;Assumptions!$X$47,1,0)</f>
        <v>36793.29139</v>
      </c>
      <c r="AY44" s="54">
        <f>(AY43*Assumptions!$X44/12)*IF(AY1&gt;Assumptions!$X$47,1,0)</f>
        <v>36752.03576</v>
      </c>
      <c r="AZ44" s="54">
        <f>(AZ43*Assumptions!$X44/12)*IF(AZ1&gt;Assumptions!$X$47,1,0)</f>
        <v>36710.58486</v>
      </c>
      <c r="BA44" s="54">
        <f>(BA43*Assumptions!$X44/12)*IF(BA1&gt;Assumptions!$X$47,1,0)</f>
        <v>36668.93776</v>
      </c>
      <c r="BB44" s="54">
        <f>(BB43*Assumptions!$X44/12)*IF(BB1&gt;Assumptions!$X$47,1,0)</f>
        <v>36627.09352</v>
      </c>
      <c r="BC44" s="54">
        <f>(BC43*Assumptions!$X44/12)*IF(BC1&gt;Assumptions!$X$47,1,0)</f>
        <v>36585.05123</v>
      </c>
      <c r="BD44" s="54">
        <f>(BD43*Assumptions!$X44/12)*IF(BD1&gt;Assumptions!$X$47,1,0)</f>
        <v>36542.80993</v>
      </c>
      <c r="BE44" s="54">
        <f>(BE43*Assumptions!$X44/12)*IF(BE1&gt;Assumptions!$X$47,1,0)</f>
        <v>36500.3687</v>
      </c>
      <c r="BF44" s="54">
        <f>(BF43*Assumptions!$X44/12)*IF(BF1&gt;Assumptions!$X$47,1,0)</f>
        <v>36457.72657</v>
      </c>
      <c r="BG44" s="54">
        <f>(BG43*Assumptions!$X44/12)*IF(BG1&gt;Assumptions!$X$47,1,0)</f>
        <v>36414.88261</v>
      </c>
      <c r="BH44" s="54">
        <f>(BH43*Assumptions!$X44/12)*IF(BH1&gt;Assumptions!$X$47,1,0)</f>
        <v>36371.83585</v>
      </c>
      <c r="BI44" s="54">
        <f>(BI43*Assumptions!$X44/12)*IF(BI1&gt;Assumptions!$X$47,1,0)</f>
        <v>36328.58533</v>
      </c>
      <c r="BJ44" s="54">
        <f>(BJ43*Assumptions!$X44/12)*IF(BJ1&gt;Assumptions!$X$47,1,0)</f>
        <v>36285.1301</v>
      </c>
      <c r="BK44" s="54">
        <f>(BK43*Assumptions!$X44/12)*IF(BK1&gt;Assumptions!$X$47,1,0)</f>
        <v>36241.46918</v>
      </c>
      <c r="BL44" s="54">
        <f>(BL43*Assumptions!$X44/12)*IF(BL1&gt;Assumptions!$X$47,1,0)</f>
        <v>36197.60159</v>
      </c>
      <c r="BM44" s="54">
        <f>(BM43*Assumptions!$X44/12)*IF(BM1&gt;Assumptions!$X$47,1,0)</f>
        <v>36153.52637</v>
      </c>
      <c r="BN44" s="54">
        <f>(BN43*Assumptions!$X44/12)*IF(BN1&gt;Assumptions!$X$47,1,0)</f>
        <v>36109.24252</v>
      </c>
      <c r="BO44" s="54">
        <f>(BO43*Assumptions!$X44/12)*IF(BO1&gt;Assumptions!$X$47,1,0)</f>
        <v>36064.74907</v>
      </c>
      <c r="BP44" s="54">
        <f>(BP43*Assumptions!$X44/12)*IF(BP1&gt;Assumptions!$X$47,1,0)</f>
        <v>36020.04501</v>
      </c>
      <c r="BQ44" s="54">
        <f>(BQ43*Assumptions!$X44/12)*IF(BQ1&gt;Assumptions!$X$47,1,0)</f>
        <v>35975.12935</v>
      </c>
      <c r="BR44" s="54">
        <f>(BR43*Assumptions!$X44/12)*IF(BR1&gt;Assumptions!$X$47,1,0)</f>
        <v>35930.00109</v>
      </c>
      <c r="BS44" s="54">
        <f>(BS43*Assumptions!$X44/12)*IF(BS1&gt;Assumptions!$X$47,1,0)</f>
        <v>35884.65923</v>
      </c>
      <c r="BT44" s="54">
        <f>(BT43*Assumptions!$X44/12)*IF(BT1&gt;Assumptions!$X$47,1,0)</f>
        <v>35839.10274</v>
      </c>
      <c r="BU44" s="54">
        <f>(BU43*Assumptions!$X44/12)*IF(BU1&gt;Assumptions!$X$47,1,0)</f>
        <v>35793.33062</v>
      </c>
      <c r="BV44" s="54">
        <f>(BV43*Assumptions!$X44/12)*IF(BV1&gt;Assumptions!$X$47,1,0)</f>
        <v>35747.34185</v>
      </c>
      <c r="BW44" s="54">
        <f>(BW43*Assumptions!$X44/12)*IF(BW1&gt;Assumptions!$X$47,1,0)</f>
        <v>35701.1354</v>
      </c>
      <c r="BX44" s="54">
        <f>(BX43*Assumptions!$X44/12)*IF(BX1&gt;Assumptions!$X$47,1,0)</f>
        <v>35654.71024</v>
      </c>
      <c r="BY44" s="54">
        <f>(BY43*Assumptions!$X44/12)*IF(BY1&gt;Assumptions!$X$47,1,0)</f>
        <v>35608.06533</v>
      </c>
      <c r="BZ44" s="54">
        <f>(BZ43*Assumptions!$X44/12)*IF(BZ1&gt;Assumptions!$X$47,1,0)</f>
        <v>35561.19963</v>
      </c>
      <c r="CA44" s="54">
        <f>(CA43*Assumptions!$X44/12)*IF(CA1&gt;Assumptions!$X$47,1,0)</f>
        <v>35514.11211</v>
      </c>
      <c r="CB44" s="54">
        <f>(CB43*Assumptions!$X44/12)*IF(CB1&gt;Assumptions!$X$47,1,0)</f>
        <v>35466.8017</v>
      </c>
      <c r="CC44" s="54">
        <f>(CC43*Assumptions!$X44/12)*IF(CC1&gt;Assumptions!$X$47,1,0)</f>
        <v>35419.26736</v>
      </c>
      <c r="CD44" s="54">
        <f>(CD43*Assumptions!$X44/12)*IF(CD1&gt;Assumptions!$X$47,1,0)</f>
        <v>35371.50802</v>
      </c>
      <c r="CE44" s="54">
        <f>(CE43*Assumptions!$X44/12)*IF(CE1&gt;Assumptions!$X$47,1,0)</f>
        <v>35323.52262</v>
      </c>
      <c r="CF44" s="54">
        <f>(CF43*Assumptions!$X44/12)*IF(CF1&gt;Assumptions!$X$47,1,0)</f>
        <v>35275.31009</v>
      </c>
      <c r="CG44" s="54">
        <f>(CG43*Assumptions!$X44/12)*IF(CG1&gt;Assumptions!$X$47,1,0)</f>
        <v>35226.86935</v>
      </c>
      <c r="CH44" s="54">
        <f>(CH43*Assumptions!$X44/12)*IF(CH1&gt;Assumptions!$X$47,1,0)</f>
        <v>35178.19933</v>
      </c>
      <c r="CI44" s="54">
        <f>(CI43*Assumptions!$X44/12)*IF(CI1&gt;Assumptions!$X$47,1,0)</f>
        <v>35129.29893</v>
      </c>
      <c r="CJ44" s="54">
        <f>(CJ43*Assumptions!$X44/12)*IF(CJ1&gt;Assumptions!$X$47,1,0)</f>
        <v>35080.16708</v>
      </c>
      <c r="CK44" s="54">
        <f>(CK43*Assumptions!$X44/12)*IF(CK1&gt;Assumptions!$X$47,1,0)</f>
        <v>35030.80266</v>
      </c>
      <c r="CL44" s="54">
        <f>(CL43*Assumptions!$X44/12)*IF(CL1&gt;Assumptions!$X$47,1,0)</f>
        <v>34981.20459</v>
      </c>
      <c r="CM44" s="54">
        <f>(CM43*Assumptions!$X44/12)*IF(CM1&gt;Assumptions!$X$47,1,0)</f>
        <v>34931.37176</v>
      </c>
      <c r="CN44" s="54">
        <f>(CN43*Assumptions!$X44/12)*IF(CN1&gt;Assumptions!$X$47,1,0)</f>
        <v>34881.30305</v>
      </c>
      <c r="CO44" s="54">
        <f>(CO43*Assumptions!$X44/12)*IF(CO1&gt;Assumptions!$X$47,1,0)</f>
        <v>34830.99734</v>
      </c>
      <c r="CP44" s="54">
        <f>(CP43*Assumptions!$X44/12)*IF(CP1&gt;Assumptions!$X$47,1,0)</f>
        <v>34780.45353</v>
      </c>
      <c r="CQ44" s="54">
        <f>(CQ43*Assumptions!$X44/12)*IF(CQ1&gt;Assumptions!$X$47,1,0)</f>
        <v>34729.67047</v>
      </c>
      <c r="CR44" s="54">
        <f>(CR43*Assumptions!$X44/12)*IF(CR1&gt;Assumptions!$X$47,1,0)</f>
        <v>34678.64704</v>
      </c>
      <c r="CS44" s="54">
        <f>(CS43*Assumptions!$X44/12)*IF(CS1&gt;Assumptions!$X$47,1,0)</f>
        <v>34627.3821</v>
      </c>
      <c r="CT44" s="54">
        <f>(CT43*Assumptions!$X44/12)*IF(CT1&gt;Assumptions!$X$47,1,0)</f>
        <v>34575.8745</v>
      </c>
      <c r="CU44" s="54">
        <f>(CU43*Assumptions!$X44/12)*IF(CU1&gt;Assumptions!$X$47,1,0)</f>
        <v>34524.1231</v>
      </c>
      <c r="CV44" s="54">
        <f>(CV43*Assumptions!$X44/12)*IF(CV1&gt;Assumptions!$X$47,1,0)</f>
        <v>34472.12675</v>
      </c>
      <c r="CW44" s="54">
        <f>(CW43*Assumptions!$X44/12)*IF(CW1&gt;Assumptions!$X$47,1,0)</f>
        <v>34419.88428</v>
      </c>
      <c r="CX44" s="54">
        <f>(CX43*Assumptions!$X44/12)*IF(CX1&gt;Assumptions!$X$47,1,0)</f>
        <v>34367.39452</v>
      </c>
      <c r="CY44" s="54">
        <f>(CY43*Assumptions!$X44/12)*IF(CY1&gt;Assumptions!$X$47,1,0)</f>
        <v>34314.65632</v>
      </c>
      <c r="CZ44" s="54">
        <f>(CZ43*Assumptions!$X44/12)*IF(CZ1&gt;Assumptions!$X$47,1,0)</f>
        <v>34261.66849</v>
      </c>
      <c r="DA44" s="54">
        <f>(DA43*Assumptions!$X44/12)*IF(DA1&gt;Assumptions!$X$47,1,0)</f>
        <v>34208.42985</v>
      </c>
      <c r="DB44" s="54">
        <f>(DB43*Assumptions!$X44/12)*IF(DB1&gt;Assumptions!$X$47,1,0)</f>
        <v>34154.93921</v>
      </c>
      <c r="DC44" s="54">
        <f>(DC43*Assumptions!$X44/12)*IF(DC1&gt;Assumptions!$X$47,1,0)</f>
        <v>34101.19539</v>
      </c>
      <c r="DD44" s="54">
        <f>(DD43*Assumptions!$X44/12)*IF(DD1&gt;Assumptions!$X$47,1,0)</f>
        <v>34047.19718</v>
      </c>
      <c r="DE44" s="54">
        <f>(DE43*Assumptions!$X44/12)*IF(DE1&gt;Assumptions!$X$47,1,0)</f>
        <v>33992.94337</v>
      </c>
      <c r="DF44" s="54">
        <f>(DF43*Assumptions!$X44/12)*IF(DF1&gt;Assumptions!$X$47,1,0)</f>
        <v>33938.43277</v>
      </c>
      <c r="DG44" s="54">
        <f>(DG43*Assumptions!$X44/12)*IF(DG1&gt;Assumptions!$X$47,1,0)</f>
        <v>33883.66414</v>
      </c>
      <c r="DH44" s="54">
        <f>(DH43*Assumptions!$X44/12)*IF(DH1&gt;Assumptions!$X$47,1,0)</f>
        <v>33828.63628</v>
      </c>
      <c r="DI44" s="54">
        <f>(DI43*Assumptions!$X44/12)*IF(DI1&gt;Assumptions!$X$47,1,0)</f>
        <v>33773.34796</v>
      </c>
      <c r="DJ44" s="54">
        <f>(DJ43*Assumptions!$X44/12)*IF(DJ1&gt;Assumptions!$X$47,1,0)</f>
        <v>33717.79793</v>
      </c>
      <c r="DK44" s="54">
        <f>(DK43*Assumptions!$X44/12)*IF(DK1&gt;Assumptions!$X$47,1,0)</f>
        <v>33661.98497</v>
      </c>
      <c r="DL44" s="54">
        <f>(DL43*Assumptions!$X44/12)*IF(DL1&gt;Assumptions!$X$47,1,0)</f>
        <v>33605.90783</v>
      </c>
      <c r="DM44" s="54">
        <f>(DM43*Assumptions!$X44/12)*IF(DM1&gt;Assumptions!$X$47,1,0)</f>
        <v>33549.56526</v>
      </c>
      <c r="DN44" s="54">
        <f>(DN43*Assumptions!$X44/12)*IF(DN1&gt;Assumptions!$X$47,1,0)</f>
        <v>33492.95599</v>
      </c>
      <c r="DO44" s="54">
        <f>(DO43*Assumptions!$X44/12)*IF(DO1&gt;Assumptions!$X$47,1,0)</f>
        <v>33436.07878</v>
      </c>
      <c r="DP44" s="54">
        <f>(DP43*Assumptions!$X44/12)*IF(DP1&gt;Assumptions!$X$47,1,0)</f>
        <v>33378.93235</v>
      </c>
      <c r="DQ44" s="54">
        <f>(DQ43*Assumptions!$X44/12)*IF(DQ1&gt;Assumptions!$X$47,1,0)</f>
        <v>33321.51543</v>
      </c>
      <c r="DR44" s="54">
        <f>(DR43*Assumptions!$X44/12)*IF(DR1&gt;Assumptions!$X$47,1,0)</f>
        <v>33263.82673</v>
      </c>
      <c r="DS44" s="54">
        <f>(DS43*Assumptions!$X44/12)*IF(DS1&gt;Assumptions!$X$47,1,0)</f>
        <v>33205.86497</v>
      </c>
      <c r="DT44" s="54">
        <f>(DT43*Assumptions!$X44/12)*IF(DT1&gt;Assumptions!$X$47,1,0)</f>
        <v>33147.62886</v>
      </c>
      <c r="DU44" s="54">
        <f>(DU43*Assumptions!$X44/12)*IF(DU1&gt;Assumptions!$X$47,1,0)</f>
        <v>33089.1171</v>
      </c>
      <c r="DV44" s="54">
        <f>(DV43*Assumptions!$X44/12)*IF(DV1&gt;Assumptions!$X$47,1,0)</f>
        <v>33030.32838</v>
      </c>
      <c r="DW44" s="54">
        <f>(DW43*Assumptions!$X44/12)*IF(DW1&gt;Assumptions!$X$47,1,0)</f>
        <v>32971.2614</v>
      </c>
      <c r="DX44" s="54">
        <f>(DX43*Assumptions!$X44/12)*IF(DX1&gt;Assumptions!$X$47,1,0)</f>
        <v>32911.91483</v>
      </c>
      <c r="DY44" s="54">
        <f>(DY43*Assumptions!$X44/12)*IF(DY1&gt;Assumptions!$X$47,1,0)</f>
        <v>32852.28736</v>
      </c>
      <c r="DZ44" s="54">
        <f>(DZ43*Assumptions!$X44/12)*IF(DZ1&gt;Assumptions!$X$47,1,0)</f>
        <v>32792.37765</v>
      </c>
      <c r="EA44" s="54">
        <f>(EA43*Assumptions!$X44/12)*IF(EA1&gt;Assumptions!$X$47,1,0)</f>
        <v>32732.18437</v>
      </c>
      <c r="EB44" s="54">
        <f>(EB43*Assumptions!$X44/12)*IF(EB1&gt;Assumptions!$X$47,1,0)</f>
        <v>32671.70617</v>
      </c>
      <c r="EC44" s="54">
        <f>(EC43*Assumptions!$X44/12)*IF(EC1&gt;Assumptions!$X$47,1,0)</f>
        <v>32610.94171</v>
      </c>
      <c r="ED44" s="54">
        <f>(ED43*Assumptions!$X44/12)*IF(ED1&gt;Assumptions!$X$47,1,0)</f>
        <v>32549.88963</v>
      </c>
      <c r="EE44" s="54">
        <f>(EE43*Assumptions!$X44/12)*IF(EE1&gt;Assumptions!$X$47,1,0)</f>
        <v>32488.54857</v>
      </c>
    </row>
    <row r="45" ht="15.75" customHeight="1">
      <c r="A45" s="1"/>
      <c r="B45" s="1"/>
      <c r="C45" s="1" t="s">
        <v>196</v>
      </c>
      <c r="D45" s="54">
        <f t="shared" ref="D45:EE45" si="9">D46-D44</f>
        <v>0</v>
      </c>
      <c r="E45" s="54">
        <f t="shared" si="9"/>
        <v>0</v>
      </c>
      <c r="F45" s="54">
        <f t="shared" si="9"/>
        <v>0</v>
      </c>
      <c r="G45" s="54">
        <f t="shared" si="9"/>
        <v>0</v>
      </c>
      <c r="H45" s="54">
        <f t="shared" si="9"/>
        <v>0</v>
      </c>
      <c r="I45" s="54">
        <f t="shared" si="9"/>
        <v>0</v>
      </c>
      <c r="J45" s="54">
        <f t="shared" si="9"/>
        <v>0</v>
      </c>
      <c r="K45" s="54">
        <f t="shared" si="9"/>
        <v>0</v>
      </c>
      <c r="L45" s="54">
        <f t="shared" si="9"/>
        <v>0</v>
      </c>
      <c r="M45" s="54">
        <f t="shared" si="9"/>
        <v>0</v>
      </c>
      <c r="N45" s="54">
        <f t="shared" si="9"/>
        <v>0</v>
      </c>
      <c r="O45" s="54">
        <f t="shared" si="9"/>
        <v>0</v>
      </c>
      <c r="P45" s="54">
        <f t="shared" si="9"/>
        <v>0</v>
      </c>
      <c r="Q45" s="54">
        <f t="shared" si="9"/>
        <v>0</v>
      </c>
      <c r="R45" s="54">
        <f t="shared" si="9"/>
        <v>0</v>
      </c>
      <c r="S45" s="54">
        <f t="shared" si="9"/>
        <v>0</v>
      </c>
      <c r="T45" s="54">
        <f t="shared" si="9"/>
        <v>0</v>
      </c>
      <c r="U45" s="54">
        <f t="shared" si="9"/>
        <v>0</v>
      </c>
      <c r="V45" s="54">
        <f t="shared" si="9"/>
        <v>0</v>
      </c>
      <c r="W45" s="54">
        <f t="shared" si="9"/>
        <v>0</v>
      </c>
      <c r="X45" s="54">
        <f t="shared" si="9"/>
        <v>0</v>
      </c>
      <c r="Y45" s="54">
        <f t="shared" si="9"/>
        <v>0</v>
      </c>
      <c r="Z45" s="54">
        <f t="shared" si="9"/>
        <v>0</v>
      </c>
      <c r="AA45" s="54">
        <f t="shared" si="9"/>
        <v>0</v>
      </c>
      <c r="AB45" s="54">
        <f t="shared" si="9"/>
        <v>0</v>
      </c>
      <c r="AC45" s="54">
        <f t="shared" si="9"/>
        <v>0</v>
      </c>
      <c r="AD45" s="54">
        <f t="shared" si="9"/>
        <v>0</v>
      </c>
      <c r="AE45" s="54">
        <f t="shared" si="9"/>
        <v>0</v>
      </c>
      <c r="AF45" s="54">
        <f t="shared" si="9"/>
        <v>0</v>
      </c>
      <c r="AG45" s="54">
        <f t="shared" si="9"/>
        <v>0</v>
      </c>
      <c r="AH45" s="54">
        <f t="shared" si="9"/>
        <v>0</v>
      </c>
      <c r="AI45" s="54">
        <f t="shared" si="9"/>
        <v>0</v>
      </c>
      <c r="AJ45" s="54">
        <f t="shared" si="9"/>
        <v>0</v>
      </c>
      <c r="AK45" s="54">
        <f t="shared" si="9"/>
        <v>0</v>
      </c>
      <c r="AL45" s="54">
        <f t="shared" si="9"/>
        <v>0</v>
      </c>
      <c r="AM45" s="54">
        <f t="shared" si="9"/>
        <v>0</v>
      </c>
      <c r="AN45" s="54">
        <f t="shared" si="9"/>
        <v>8313.960815</v>
      </c>
      <c r="AO45" s="54">
        <f t="shared" si="9"/>
        <v>8353.313563</v>
      </c>
      <c r="AP45" s="54">
        <f t="shared" si="9"/>
        <v>8392.852581</v>
      </c>
      <c r="AQ45" s="54">
        <f t="shared" si="9"/>
        <v>8432.57875</v>
      </c>
      <c r="AR45" s="54">
        <f t="shared" si="9"/>
        <v>8472.492956</v>
      </c>
      <c r="AS45" s="54">
        <f t="shared" si="9"/>
        <v>8512.596089</v>
      </c>
      <c r="AT45" s="54">
        <f t="shared" si="9"/>
        <v>8552.889044</v>
      </c>
      <c r="AU45" s="54">
        <f t="shared" si="9"/>
        <v>8593.372719</v>
      </c>
      <c r="AV45" s="54">
        <f t="shared" si="9"/>
        <v>8634.048016</v>
      </c>
      <c r="AW45" s="54">
        <f t="shared" si="9"/>
        <v>8674.915844</v>
      </c>
      <c r="AX45" s="54">
        <f t="shared" si="9"/>
        <v>8715.977112</v>
      </c>
      <c r="AY45" s="54">
        <f t="shared" si="9"/>
        <v>8757.232737</v>
      </c>
      <c r="AZ45" s="54">
        <f t="shared" si="9"/>
        <v>8798.683638</v>
      </c>
      <c r="BA45" s="54">
        <f t="shared" si="9"/>
        <v>8840.330741</v>
      </c>
      <c r="BB45" s="54">
        <f t="shared" si="9"/>
        <v>8882.174973</v>
      </c>
      <c r="BC45" s="54">
        <f t="shared" si="9"/>
        <v>8924.217268</v>
      </c>
      <c r="BD45" s="54">
        <f t="shared" si="9"/>
        <v>8966.458563</v>
      </c>
      <c r="BE45" s="54">
        <f t="shared" si="9"/>
        <v>9008.8998</v>
      </c>
      <c r="BF45" s="54">
        <f t="shared" si="9"/>
        <v>9051.541926</v>
      </c>
      <c r="BG45" s="54">
        <f t="shared" si="9"/>
        <v>9094.385891</v>
      </c>
      <c r="BH45" s="54">
        <f t="shared" si="9"/>
        <v>9137.432651</v>
      </c>
      <c r="BI45" s="54">
        <f t="shared" si="9"/>
        <v>9180.683166</v>
      </c>
      <c r="BJ45" s="54">
        <f t="shared" si="9"/>
        <v>9224.138399</v>
      </c>
      <c r="BK45" s="54">
        <f t="shared" si="9"/>
        <v>9267.799321</v>
      </c>
      <c r="BL45" s="54">
        <f t="shared" si="9"/>
        <v>9311.666904</v>
      </c>
      <c r="BM45" s="54">
        <f t="shared" si="9"/>
        <v>9355.742128</v>
      </c>
      <c r="BN45" s="54">
        <f t="shared" si="9"/>
        <v>9400.025974</v>
      </c>
      <c r="BO45" s="54">
        <f t="shared" si="9"/>
        <v>9444.51943</v>
      </c>
      <c r="BP45" s="54">
        <f t="shared" si="9"/>
        <v>9489.223489</v>
      </c>
      <c r="BQ45" s="54">
        <f t="shared" si="9"/>
        <v>9534.139147</v>
      </c>
      <c r="BR45" s="54">
        <f t="shared" si="9"/>
        <v>9579.267405</v>
      </c>
      <c r="BS45" s="54">
        <f t="shared" si="9"/>
        <v>9624.609271</v>
      </c>
      <c r="BT45" s="54">
        <f t="shared" si="9"/>
        <v>9670.165755</v>
      </c>
      <c r="BU45" s="54">
        <f t="shared" si="9"/>
        <v>9715.937873</v>
      </c>
      <c r="BV45" s="54">
        <f t="shared" si="9"/>
        <v>9761.926645</v>
      </c>
      <c r="BW45" s="54">
        <f t="shared" si="9"/>
        <v>9808.133098</v>
      </c>
      <c r="BX45" s="54">
        <f t="shared" si="9"/>
        <v>9854.558261</v>
      </c>
      <c r="BY45" s="54">
        <f t="shared" si="9"/>
        <v>9901.203171</v>
      </c>
      <c r="BZ45" s="54">
        <f t="shared" si="9"/>
        <v>9948.068866</v>
      </c>
      <c r="CA45" s="54">
        <f t="shared" si="9"/>
        <v>9995.156392</v>
      </c>
      <c r="CB45" s="54">
        <f t="shared" si="9"/>
        <v>10042.4668</v>
      </c>
      <c r="CC45" s="54">
        <f t="shared" si="9"/>
        <v>10090.00114</v>
      </c>
      <c r="CD45" s="54">
        <f t="shared" si="9"/>
        <v>10137.76048</v>
      </c>
      <c r="CE45" s="54">
        <f t="shared" si="9"/>
        <v>10185.74588</v>
      </c>
      <c r="CF45" s="54">
        <f t="shared" si="9"/>
        <v>10233.95841</v>
      </c>
      <c r="CG45" s="54">
        <f t="shared" si="9"/>
        <v>10282.39915</v>
      </c>
      <c r="CH45" s="54">
        <f t="shared" si="9"/>
        <v>10331.06917</v>
      </c>
      <c r="CI45" s="54">
        <f t="shared" si="9"/>
        <v>10379.96956</v>
      </c>
      <c r="CJ45" s="54">
        <f t="shared" si="9"/>
        <v>10429.10142</v>
      </c>
      <c r="CK45" s="54">
        <f t="shared" si="9"/>
        <v>10478.46583</v>
      </c>
      <c r="CL45" s="54">
        <f t="shared" si="9"/>
        <v>10528.0639</v>
      </c>
      <c r="CM45" s="54">
        <f t="shared" si="9"/>
        <v>10577.89674</v>
      </c>
      <c r="CN45" s="54">
        <f t="shared" si="9"/>
        <v>10627.96545</v>
      </c>
      <c r="CO45" s="54">
        <f t="shared" si="9"/>
        <v>10678.27115</v>
      </c>
      <c r="CP45" s="54">
        <f t="shared" si="9"/>
        <v>10728.81497</v>
      </c>
      <c r="CQ45" s="54">
        <f t="shared" si="9"/>
        <v>10779.59803</v>
      </c>
      <c r="CR45" s="54">
        <f t="shared" si="9"/>
        <v>10830.62146</v>
      </c>
      <c r="CS45" s="54">
        <f t="shared" si="9"/>
        <v>10881.8864</v>
      </c>
      <c r="CT45" s="54">
        <f t="shared" si="9"/>
        <v>10933.394</v>
      </c>
      <c r="CU45" s="54">
        <f t="shared" si="9"/>
        <v>10985.14539</v>
      </c>
      <c r="CV45" s="54">
        <f t="shared" si="9"/>
        <v>11037.14175</v>
      </c>
      <c r="CW45" s="54">
        <f t="shared" si="9"/>
        <v>11089.38422</v>
      </c>
      <c r="CX45" s="54">
        <f t="shared" si="9"/>
        <v>11141.87397</v>
      </c>
      <c r="CY45" s="54">
        <f t="shared" si="9"/>
        <v>11194.61218</v>
      </c>
      <c r="CZ45" s="54">
        <f t="shared" si="9"/>
        <v>11247.60001</v>
      </c>
      <c r="DA45" s="54">
        <f t="shared" si="9"/>
        <v>11300.83865</v>
      </c>
      <c r="DB45" s="54">
        <f t="shared" si="9"/>
        <v>11354.32928</v>
      </c>
      <c r="DC45" s="54">
        <f t="shared" si="9"/>
        <v>11408.07311</v>
      </c>
      <c r="DD45" s="54">
        <f t="shared" si="9"/>
        <v>11462.07132</v>
      </c>
      <c r="DE45" s="54">
        <f t="shared" si="9"/>
        <v>11516.32513</v>
      </c>
      <c r="DF45" s="54">
        <f t="shared" si="9"/>
        <v>11570.83573</v>
      </c>
      <c r="DG45" s="54">
        <f t="shared" si="9"/>
        <v>11625.60435</v>
      </c>
      <c r="DH45" s="54">
        <f t="shared" si="9"/>
        <v>11680.63221</v>
      </c>
      <c r="DI45" s="54">
        <f t="shared" si="9"/>
        <v>11735.92054</v>
      </c>
      <c r="DJ45" s="54">
        <f t="shared" si="9"/>
        <v>11791.47056</v>
      </c>
      <c r="DK45" s="54">
        <f t="shared" si="9"/>
        <v>11847.28352</v>
      </c>
      <c r="DL45" s="54">
        <f t="shared" si="9"/>
        <v>11903.36067</v>
      </c>
      <c r="DM45" s="54">
        <f t="shared" si="9"/>
        <v>11959.70324</v>
      </c>
      <c r="DN45" s="54">
        <f t="shared" si="9"/>
        <v>12016.3125</v>
      </c>
      <c r="DO45" s="54">
        <f t="shared" si="9"/>
        <v>12073.18972</v>
      </c>
      <c r="DP45" s="54">
        <f t="shared" si="9"/>
        <v>12130.33615</v>
      </c>
      <c r="DQ45" s="54">
        <f t="shared" si="9"/>
        <v>12187.75307</v>
      </c>
      <c r="DR45" s="54">
        <f t="shared" si="9"/>
        <v>12245.44177</v>
      </c>
      <c r="DS45" s="54">
        <f t="shared" si="9"/>
        <v>12303.40353</v>
      </c>
      <c r="DT45" s="54">
        <f t="shared" si="9"/>
        <v>12361.63964</v>
      </c>
      <c r="DU45" s="54">
        <f t="shared" si="9"/>
        <v>12420.1514</v>
      </c>
      <c r="DV45" s="54">
        <f t="shared" si="9"/>
        <v>12478.94011</v>
      </c>
      <c r="DW45" s="54">
        <f t="shared" si="9"/>
        <v>12538.0071</v>
      </c>
      <c r="DX45" s="54">
        <f t="shared" si="9"/>
        <v>12597.35366</v>
      </c>
      <c r="DY45" s="54">
        <f t="shared" si="9"/>
        <v>12656.98114</v>
      </c>
      <c r="DZ45" s="54">
        <f t="shared" si="9"/>
        <v>12716.89085</v>
      </c>
      <c r="EA45" s="54">
        <f t="shared" si="9"/>
        <v>12777.08413</v>
      </c>
      <c r="EB45" s="54">
        <f t="shared" si="9"/>
        <v>12837.56233</v>
      </c>
      <c r="EC45" s="54">
        <f t="shared" si="9"/>
        <v>12898.32679</v>
      </c>
      <c r="ED45" s="54">
        <f t="shared" si="9"/>
        <v>12959.37887</v>
      </c>
      <c r="EE45" s="54">
        <f t="shared" si="9"/>
        <v>13020.71993</v>
      </c>
    </row>
    <row r="46" ht="15.75" customHeight="1">
      <c r="A46" s="1"/>
      <c r="B46" s="1"/>
      <c r="C46" s="1" t="s">
        <v>197</v>
      </c>
      <c r="D46" s="54">
        <f>-PMT(Assumptions!$X44/12,Assumptions!$X45*12,Assumptions!$X42)*IF(D1&gt;Assumptions!$X$47,1,0)</f>
        <v>0</v>
      </c>
      <c r="E46" s="54">
        <f>-PMT(Assumptions!$X44/12,Assumptions!$X45*12,Assumptions!$X42)*IF(E1&gt;Assumptions!$X$47,1,0)</f>
        <v>0</v>
      </c>
      <c r="F46" s="54">
        <f>-PMT(Assumptions!$X44/12,Assumptions!$X45*12,Assumptions!$X42)*IF(F1&gt;Assumptions!$X$47,1,0)</f>
        <v>0</v>
      </c>
      <c r="G46" s="54">
        <f>-PMT(Assumptions!$X44/12,Assumptions!$X45*12,Assumptions!$X42)*IF(G1&gt;Assumptions!$X$47,1,0)</f>
        <v>0</v>
      </c>
      <c r="H46" s="54">
        <f>-PMT(Assumptions!$X44/12,Assumptions!$X45*12,Assumptions!$X42)*IF(H1&gt;Assumptions!$X$47,1,0)</f>
        <v>0</v>
      </c>
      <c r="I46" s="54">
        <f>-PMT(Assumptions!$X44/12,Assumptions!$X45*12,Assumptions!$X42)*IF(I1&gt;Assumptions!$X$47,1,0)</f>
        <v>0</v>
      </c>
      <c r="J46" s="54">
        <f>-PMT(Assumptions!$X44/12,Assumptions!$X45*12,Assumptions!$X42)*IF(J1&gt;Assumptions!$X$47,1,0)</f>
        <v>0</v>
      </c>
      <c r="K46" s="54">
        <f>-PMT(Assumptions!$X44/12,Assumptions!$X45*12,Assumptions!$X42)*IF(K1&gt;Assumptions!$X$47,1,0)</f>
        <v>0</v>
      </c>
      <c r="L46" s="54">
        <f>-PMT(Assumptions!$X44/12,Assumptions!$X45*12,Assumptions!$X42)*IF(L1&gt;Assumptions!$X$47,1,0)</f>
        <v>0</v>
      </c>
      <c r="M46" s="54">
        <f>-PMT(Assumptions!$X44/12,Assumptions!$X45*12,Assumptions!$X42)*IF(M1&gt;Assumptions!$X$47,1,0)</f>
        <v>0</v>
      </c>
      <c r="N46" s="54">
        <f>-PMT(Assumptions!$X44/12,Assumptions!$X45*12,Assumptions!$X42)*IF(N1&gt;Assumptions!$X$47,1,0)</f>
        <v>0</v>
      </c>
      <c r="O46" s="54">
        <f>-PMT(Assumptions!$X44/12,Assumptions!$X45*12,Assumptions!$X42)*IF(O1&gt;Assumptions!$X$47,1,0)</f>
        <v>0</v>
      </c>
      <c r="P46" s="54">
        <f>-PMT(Assumptions!$X44/12,Assumptions!$X45*12,Assumptions!$X42)*IF(P1&gt;Assumptions!$X$47,1,0)</f>
        <v>0</v>
      </c>
      <c r="Q46" s="54">
        <f>-PMT(Assumptions!$X44/12,Assumptions!$X45*12,Assumptions!$X42)*IF(Q1&gt;Assumptions!$X$47,1,0)</f>
        <v>0</v>
      </c>
      <c r="R46" s="54">
        <f>-PMT(Assumptions!$X44/12,Assumptions!$X45*12,Assumptions!$X42)*IF(R1&gt;Assumptions!$X$47,1,0)</f>
        <v>0</v>
      </c>
      <c r="S46" s="54">
        <f>-PMT(Assumptions!$X44/12,Assumptions!$X45*12,Assumptions!$X42)*IF(S1&gt;Assumptions!$X$47,1,0)</f>
        <v>0</v>
      </c>
      <c r="T46" s="54">
        <f>-PMT(Assumptions!$X44/12,Assumptions!$X45*12,Assumptions!$X42)*IF(T1&gt;Assumptions!$X$47,1,0)</f>
        <v>0</v>
      </c>
      <c r="U46" s="54">
        <f>-PMT(Assumptions!$X44/12,Assumptions!$X45*12,Assumptions!$X42)*IF(U1&gt;Assumptions!$X$47,1,0)</f>
        <v>0</v>
      </c>
      <c r="V46" s="54">
        <f>-PMT(Assumptions!$X44/12,Assumptions!$X45*12,Assumptions!$X42)*IF(V1&gt;Assumptions!$X$47,1,0)</f>
        <v>0</v>
      </c>
      <c r="W46" s="54">
        <f>-PMT(Assumptions!$X44/12,Assumptions!$X45*12,Assumptions!$X42)*IF(W1&gt;Assumptions!$X$47,1,0)</f>
        <v>0</v>
      </c>
      <c r="X46" s="54">
        <f>-PMT(Assumptions!$X44/12,Assumptions!$X45*12,Assumptions!$X42)*IF(X1&gt;Assumptions!$X$47,1,0)</f>
        <v>0</v>
      </c>
      <c r="Y46" s="54">
        <f>-PMT(Assumptions!$X44/12,Assumptions!$X45*12,Assumptions!$X42)*IF(Y1&gt;Assumptions!$X$47,1,0)</f>
        <v>0</v>
      </c>
      <c r="Z46" s="54">
        <f>-PMT(Assumptions!$X44/12,Assumptions!$X45*12,Assumptions!$X42)*IF(Z1&gt;Assumptions!$X$47,1,0)</f>
        <v>0</v>
      </c>
      <c r="AA46" s="54">
        <f>-PMT(Assumptions!$X44/12,Assumptions!$X45*12,Assumptions!$X42)*IF(AA1&gt;Assumptions!$X$47,1,0)</f>
        <v>0</v>
      </c>
      <c r="AB46" s="54">
        <f>-PMT(Assumptions!$X44/12,Assumptions!$X45*12,Assumptions!$X42)*IF(AB1&gt;Assumptions!$X$47,1,0)</f>
        <v>0</v>
      </c>
      <c r="AC46" s="54">
        <f>-PMT(Assumptions!$X44/12,Assumptions!$X45*12,Assumptions!$X42)*IF(AC1&gt;Assumptions!$X$47,1,0)</f>
        <v>0</v>
      </c>
      <c r="AD46" s="54">
        <f>-PMT(Assumptions!$X44/12,Assumptions!$X45*12,Assumptions!$X42)*IF(AD1&gt;Assumptions!$X$47,1,0)</f>
        <v>0</v>
      </c>
      <c r="AE46" s="54">
        <f>-PMT(Assumptions!$X44/12,Assumptions!$X45*12,Assumptions!$X42)*IF(AE1&gt;Assumptions!$X$47,1,0)</f>
        <v>0</v>
      </c>
      <c r="AF46" s="54">
        <f>-PMT(Assumptions!$X44/12,Assumptions!$X45*12,Assumptions!$X42)*IF(AF1&gt;Assumptions!$X$47,1,0)</f>
        <v>0</v>
      </c>
      <c r="AG46" s="54">
        <f>-PMT(Assumptions!$X44/12,Assumptions!$X45*12,Assumptions!$X42)*IF(AG1&gt;Assumptions!$X$47,1,0)</f>
        <v>0</v>
      </c>
      <c r="AH46" s="54">
        <f>-PMT(Assumptions!$X44/12,Assumptions!$X45*12,Assumptions!$X42)*IF(AH1&gt;Assumptions!$X$47,1,0)</f>
        <v>0</v>
      </c>
      <c r="AI46" s="54">
        <f>-PMT(Assumptions!$X44/12,Assumptions!$X45*12,Assumptions!$X42)*IF(AI1&gt;Assumptions!$X$47,1,0)</f>
        <v>0</v>
      </c>
      <c r="AJ46" s="54">
        <f>-PMT(Assumptions!$X44/12,Assumptions!$X45*12,Assumptions!$X42)*IF(AJ1&gt;Assumptions!$X$47,1,0)</f>
        <v>0</v>
      </c>
      <c r="AK46" s="54">
        <f>-PMT(Assumptions!$X44/12,Assumptions!$X45*12,Assumptions!$X42)*IF(AK1&gt;Assumptions!$X$47,1,0)</f>
        <v>0</v>
      </c>
      <c r="AL46" s="54">
        <f>-PMT(Assumptions!$X44/12,Assumptions!$X45*12,Assumptions!$X42)*IF(AL1&gt;Assumptions!$X$47,1,0)</f>
        <v>0</v>
      </c>
      <c r="AM46" s="54">
        <f>-PMT(Assumptions!$X44/12,Assumptions!$X45*12,Assumptions!$X42)*IF(AM1&gt;Assumptions!$X$47,1,0)</f>
        <v>0</v>
      </c>
      <c r="AN46" s="54">
        <f>-PMT(Assumptions!$X44/12,Assumptions!$X45*12,Assumptions!$X42)*IF(AN1&gt;Assumptions!$X$47,1,0)</f>
        <v>45509.2685</v>
      </c>
      <c r="AO46" s="54">
        <f>-PMT(Assumptions!$X44/12,Assumptions!$X45*12,Assumptions!$X42)*IF(AO1&gt;Assumptions!$X$47,1,0)</f>
        <v>45509.2685</v>
      </c>
      <c r="AP46" s="54">
        <f>-PMT(Assumptions!$X44/12,Assumptions!$X45*12,Assumptions!$X42)*IF(AP1&gt;Assumptions!$X$47,1,0)</f>
        <v>45509.2685</v>
      </c>
      <c r="AQ46" s="54">
        <f>-PMT(Assumptions!$X44/12,Assumptions!$X45*12,Assumptions!$X42)*IF(AQ1&gt;Assumptions!$X$47,1,0)</f>
        <v>45509.2685</v>
      </c>
      <c r="AR46" s="54">
        <f>-PMT(Assumptions!$X44/12,Assumptions!$X45*12,Assumptions!$X42)*IF(AR1&gt;Assumptions!$X$47,1,0)</f>
        <v>45509.2685</v>
      </c>
      <c r="AS46" s="54">
        <f>-PMT(Assumptions!$X44/12,Assumptions!$X45*12,Assumptions!$X42)*IF(AS1&gt;Assumptions!$X$47,1,0)</f>
        <v>45509.2685</v>
      </c>
      <c r="AT46" s="54">
        <f>-PMT(Assumptions!$X44/12,Assumptions!$X45*12,Assumptions!$X42)*IF(AT1&gt;Assumptions!$X$47,1,0)</f>
        <v>45509.2685</v>
      </c>
      <c r="AU46" s="54">
        <f>-PMT(Assumptions!$X44/12,Assumptions!$X45*12,Assumptions!$X42)*IF(AU1&gt;Assumptions!$X$47,1,0)</f>
        <v>45509.2685</v>
      </c>
      <c r="AV46" s="54">
        <f>-PMT(Assumptions!$X44/12,Assumptions!$X45*12,Assumptions!$X42)*IF(AV1&gt;Assumptions!$X$47,1,0)</f>
        <v>45509.2685</v>
      </c>
      <c r="AW46" s="54">
        <f>-PMT(Assumptions!$X44/12,Assumptions!$X45*12,Assumptions!$X42)*IF(AW1&gt;Assumptions!$X$47,1,0)</f>
        <v>45509.2685</v>
      </c>
      <c r="AX46" s="54">
        <f>-PMT(Assumptions!$X44/12,Assumptions!$X45*12,Assumptions!$X42)*IF(AX1&gt;Assumptions!$X$47,1,0)</f>
        <v>45509.2685</v>
      </c>
      <c r="AY46" s="54">
        <f>-PMT(Assumptions!$X44/12,Assumptions!$X45*12,Assumptions!$X42)*IF(AY1&gt;Assumptions!$X$47,1,0)</f>
        <v>45509.2685</v>
      </c>
      <c r="AZ46" s="54">
        <f>-PMT(Assumptions!$X44/12,Assumptions!$X45*12,Assumptions!$X42)*IF(AZ1&gt;Assumptions!$X$47,1,0)</f>
        <v>45509.2685</v>
      </c>
      <c r="BA46" s="54">
        <f>-PMT(Assumptions!$X44/12,Assumptions!$X45*12,Assumptions!$X42)*IF(BA1&gt;Assumptions!$X$47,1,0)</f>
        <v>45509.2685</v>
      </c>
      <c r="BB46" s="54">
        <f>-PMT(Assumptions!$X44/12,Assumptions!$X45*12,Assumptions!$X42)*IF(BB1&gt;Assumptions!$X$47,1,0)</f>
        <v>45509.2685</v>
      </c>
      <c r="BC46" s="54">
        <f>-PMT(Assumptions!$X44/12,Assumptions!$X45*12,Assumptions!$X42)*IF(BC1&gt;Assumptions!$X$47,1,0)</f>
        <v>45509.2685</v>
      </c>
      <c r="BD46" s="54">
        <f>-PMT(Assumptions!$X44/12,Assumptions!$X45*12,Assumptions!$X42)*IF(BD1&gt;Assumptions!$X$47,1,0)</f>
        <v>45509.2685</v>
      </c>
      <c r="BE46" s="54">
        <f>-PMT(Assumptions!$X44/12,Assumptions!$X45*12,Assumptions!$X42)*IF(BE1&gt;Assumptions!$X$47,1,0)</f>
        <v>45509.2685</v>
      </c>
      <c r="BF46" s="54">
        <f>-PMT(Assumptions!$X44/12,Assumptions!$X45*12,Assumptions!$X42)*IF(BF1&gt;Assumptions!$X$47,1,0)</f>
        <v>45509.2685</v>
      </c>
      <c r="BG46" s="54">
        <f>-PMT(Assumptions!$X44/12,Assumptions!$X45*12,Assumptions!$X42)*IF(BG1&gt;Assumptions!$X$47,1,0)</f>
        <v>45509.2685</v>
      </c>
      <c r="BH46" s="54">
        <f>-PMT(Assumptions!$X44/12,Assumptions!$X45*12,Assumptions!$X42)*IF(BH1&gt;Assumptions!$X$47,1,0)</f>
        <v>45509.2685</v>
      </c>
      <c r="BI46" s="54">
        <f>-PMT(Assumptions!$X44/12,Assumptions!$X45*12,Assumptions!$X42)*IF(BI1&gt;Assumptions!$X$47,1,0)</f>
        <v>45509.2685</v>
      </c>
      <c r="BJ46" s="54">
        <f>-PMT(Assumptions!$X44/12,Assumptions!$X45*12,Assumptions!$X42)*IF(BJ1&gt;Assumptions!$X$47,1,0)</f>
        <v>45509.2685</v>
      </c>
      <c r="BK46" s="54">
        <f>-PMT(Assumptions!$X44/12,Assumptions!$X45*12,Assumptions!$X42)*IF(BK1&gt;Assumptions!$X$47,1,0)</f>
        <v>45509.2685</v>
      </c>
      <c r="BL46" s="54">
        <f>-PMT(Assumptions!$X44/12,Assumptions!$X45*12,Assumptions!$X42)*IF(BL1&gt;Assumptions!$X$47,1,0)</f>
        <v>45509.2685</v>
      </c>
      <c r="BM46" s="54">
        <f>-PMT(Assumptions!$X44/12,Assumptions!$X45*12,Assumptions!$X42)*IF(BM1&gt;Assumptions!$X$47,1,0)</f>
        <v>45509.2685</v>
      </c>
      <c r="BN46" s="54">
        <f>-PMT(Assumptions!$X44/12,Assumptions!$X45*12,Assumptions!$X42)*IF(BN1&gt;Assumptions!$X$47,1,0)</f>
        <v>45509.2685</v>
      </c>
      <c r="BO46" s="54">
        <f>-PMT(Assumptions!$X44/12,Assumptions!$X45*12,Assumptions!$X42)*IF(BO1&gt;Assumptions!$X$47,1,0)</f>
        <v>45509.2685</v>
      </c>
      <c r="BP46" s="54">
        <f>-PMT(Assumptions!$X44/12,Assumptions!$X45*12,Assumptions!$X42)*IF(BP1&gt;Assumptions!$X$47,1,0)</f>
        <v>45509.2685</v>
      </c>
      <c r="BQ46" s="54">
        <f>-PMT(Assumptions!$X44/12,Assumptions!$X45*12,Assumptions!$X42)*IF(BQ1&gt;Assumptions!$X$47,1,0)</f>
        <v>45509.2685</v>
      </c>
      <c r="BR46" s="54">
        <f>-PMT(Assumptions!$X44/12,Assumptions!$X45*12,Assumptions!$X42)*IF(BR1&gt;Assumptions!$X$47,1,0)</f>
        <v>45509.2685</v>
      </c>
      <c r="BS46" s="54">
        <f>-PMT(Assumptions!$X44/12,Assumptions!$X45*12,Assumptions!$X42)*IF(BS1&gt;Assumptions!$X$47,1,0)</f>
        <v>45509.2685</v>
      </c>
      <c r="BT46" s="54">
        <f>-PMT(Assumptions!$X44/12,Assumptions!$X45*12,Assumptions!$X42)*IF(BT1&gt;Assumptions!$X$47,1,0)</f>
        <v>45509.2685</v>
      </c>
      <c r="BU46" s="54">
        <f>-PMT(Assumptions!$X44/12,Assumptions!$X45*12,Assumptions!$X42)*IF(BU1&gt;Assumptions!$X$47,1,0)</f>
        <v>45509.2685</v>
      </c>
      <c r="BV46" s="54">
        <f>-PMT(Assumptions!$X44/12,Assumptions!$X45*12,Assumptions!$X42)*IF(BV1&gt;Assumptions!$X$47,1,0)</f>
        <v>45509.2685</v>
      </c>
      <c r="BW46" s="54">
        <f>-PMT(Assumptions!$X44/12,Assumptions!$X45*12,Assumptions!$X42)*IF(BW1&gt;Assumptions!$X$47,1,0)</f>
        <v>45509.2685</v>
      </c>
      <c r="BX46" s="54">
        <f>-PMT(Assumptions!$X44/12,Assumptions!$X45*12,Assumptions!$X42)*IF(BX1&gt;Assumptions!$X$47,1,0)</f>
        <v>45509.2685</v>
      </c>
      <c r="BY46" s="54">
        <f>-PMT(Assumptions!$X44/12,Assumptions!$X45*12,Assumptions!$X42)*IF(BY1&gt;Assumptions!$X$47,1,0)</f>
        <v>45509.2685</v>
      </c>
      <c r="BZ46" s="54">
        <f>-PMT(Assumptions!$X44/12,Assumptions!$X45*12,Assumptions!$X42)*IF(BZ1&gt;Assumptions!$X$47,1,0)</f>
        <v>45509.2685</v>
      </c>
      <c r="CA46" s="54">
        <f>-PMT(Assumptions!$X44/12,Assumptions!$X45*12,Assumptions!$X42)*IF(CA1&gt;Assumptions!$X$47,1,0)</f>
        <v>45509.2685</v>
      </c>
      <c r="CB46" s="54">
        <f>-PMT(Assumptions!$X44/12,Assumptions!$X45*12,Assumptions!$X42)*IF(CB1&gt;Assumptions!$X$47,1,0)</f>
        <v>45509.2685</v>
      </c>
      <c r="CC46" s="54">
        <f>-PMT(Assumptions!$X44/12,Assumptions!$X45*12,Assumptions!$X42)*IF(CC1&gt;Assumptions!$X$47,1,0)</f>
        <v>45509.2685</v>
      </c>
      <c r="CD46" s="54">
        <f>-PMT(Assumptions!$X44/12,Assumptions!$X45*12,Assumptions!$X42)*IF(CD1&gt;Assumptions!$X$47,1,0)</f>
        <v>45509.2685</v>
      </c>
      <c r="CE46" s="54">
        <f>-PMT(Assumptions!$X44/12,Assumptions!$X45*12,Assumptions!$X42)*IF(CE1&gt;Assumptions!$X$47,1,0)</f>
        <v>45509.2685</v>
      </c>
      <c r="CF46" s="54">
        <f>-PMT(Assumptions!$X44/12,Assumptions!$X45*12,Assumptions!$X42)*IF(CF1&gt;Assumptions!$X$47,1,0)</f>
        <v>45509.2685</v>
      </c>
      <c r="CG46" s="54">
        <f>-PMT(Assumptions!$X44/12,Assumptions!$X45*12,Assumptions!$X42)*IF(CG1&gt;Assumptions!$X$47,1,0)</f>
        <v>45509.2685</v>
      </c>
      <c r="CH46" s="54">
        <f>-PMT(Assumptions!$X44/12,Assumptions!$X45*12,Assumptions!$X42)*IF(CH1&gt;Assumptions!$X$47,1,0)</f>
        <v>45509.2685</v>
      </c>
      <c r="CI46" s="54">
        <f>-PMT(Assumptions!$X44/12,Assumptions!$X45*12,Assumptions!$X42)*IF(CI1&gt;Assumptions!$X$47,1,0)</f>
        <v>45509.2685</v>
      </c>
      <c r="CJ46" s="54">
        <f>-PMT(Assumptions!$X44/12,Assumptions!$X45*12,Assumptions!$X42)*IF(CJ1&gt;Assumptions!$X$47,1,0)</f>
        <v>45509.2685</v>
      </c>
      <c r="CK46" s="54">
        <f>-PMT(Assumptions!$X44/12,Assumptions!$X45*12,Assumptions!$X42)*IF(CK1&gt;Assumptions!$X$47,1,0)</f>
        <v>45509.2685</v>
      </c>
      <c r="CL46" s="54">
        <f>-PMT(Assumptions!$X44/12,Assumptions!$X45*12,Assumptions!$X42)*IF(CL1&gt;Assumptions!$X$47,1,0)</f>
        <v>45509.2685</v>
      </c>
      <c r="CM46" s="54">
        <f>-PMT(Assumptions!$X44/12,Assumptions!$X45*12,Assumptions!$X42)*IF(CM1&gt;Assumptions!$X$47,1,0)</f>
        <v>45509.2685</v>
      </c>
      <c r="CN46" s="54">
        <f>-PMT(Assumptions!$X44/12,Assumptions!$X45*12,Assumptions!$X42)*IF(CN1&gt;Assumptions!$X$47,1,0)</f>
        <v>45509.2685</v>
      </c>
      <c r="CO46" s="54">
        <f>-PMT(Assumptions!$X44/12,Assumptions!$X45*12,Assumptions!$X42)*IF(CO1&gt;Assumptions!$X$47,1,0)</f>
        <v>45509.2685</v>
      </c>
      <c r="CP46" s="54">
        <f>-PMT(Assumptions!$X44/12,Assumptions!$X45*12,Assumptions!$X42)*IF(CP1&gt;Assumptions!$X$47,1,0)</f>
        <v>45509.2685</v>
      </c>
      <c r="CQ46" s="54">
        <f>-PMT(Assumptions!$X44/12,Assumptions!$X45*12,Assumptions!$X42)*IF(CQ1&gt;Assumptions!$X$47,1,0)</f>
        <v>45509.2685</v>
      </c>
      <c r="CR46" s="54">
        <f>-PMT(Assumptions!$X44/12,Assumptions!$X45*12,Assumptions!$X42)*IF(CR1&gt;Assumptions!$X$47,1,0)</f>
        <v>45509.2685</v>
      </c>
      <c r="CS46" s="54">
        <f>-PMT(Assumptions!$X44/12,Assumptions!$X45*12,Assumptions!$X42)*IF(CS1&gt;Assumptions!$X$47,1,0)</f>
        <v>45509.2685</v>
      </c>
      <c r="CT46" s="54">
        <f>-PMT(Assumptions!$X44/12,Assumptions!$X45*12,Assumptions!$X42)*IF(CT1&gt;Assumptions!$X$47,1,0)</f>
        <v>45509.2685</v>
      </c>
      <c r="CU46" s="54">
        <f>-PMT(Assumptions!$X44/12,Assumptions!$X45*12,Assumptions!$X42)*IF(CU1&gt;Assumptions!$X$47,1,0)</f>
        <v>45509.2685</v>
      </c>
      <c r="CV46" s="54">
        <f>-PMT(Assumptions!$X44/12,Assumptions!$X45*12,Assumptions!$X42)*IF(CV1&gt;Assumptions!$X$47,1,0)</f>
        <v>45509.2685</v>
      </c>
      <c r="CW46" s="54">
        <f>-PMT(Assumptions!$X44/12,Assumptions!$X45*12,Assumptions!$X42)*IF(CW1&gt;Assumptions!$X$47,1,0)</f>
        <v>45509.2685</v>
      </c>
      <c r="CX46" s="54">
        <f>-PMT(Assumptions!$X44/12,Assumptions!$X45*12,Assumptions!$X42)*IF(CX1&gt;Assumptions!$X$47,1,0)</f>
        <v>45509.2685</v>
      </c>
      <c r="CY46" s="54">
        <f>-PMT(Assumptions!$X44/12,Assumptions!$X45*12,Assumptions!$X42)*IF(CY1&gt;Assumptions!$X$47,1,0)</f>
        <v>45509.2685</v>
      </c>
      <c r="CZ46" s="54">
        <f>-PMT(Assumptions!$X44/12,Assumptions!$X45*12,Assumptions!$X42)*IF(CZ1&gt;Assumptions!$X$47,1,0)</f>
        <v>45509.2685</v>
      </c>
      <c r="DA46" s="54">
        <f>-PMT(Assumptions!$X44/12,Assumptions!$X45*12,Assumptions!$X42)*IF(DA1&gt;Assumptions!$X$47,1,0)</f>
        <v>45509.2685</v>
      </c>
      <c r="DB46" s="54">
        <f>-PMT(Assumptions!$X44/12,Assumptions!$X45*12,Assumptions!$X42)*IF(DB1&gt;Assumptions!$X$47,1,0)</f>
        <v>45509.2685</v>
      </c>
      <c r="DC46" s="54">
        <f>-PMT(Assumptions!$X44/12,Assumptions!$X45*12,Assumptions!$X42)*IF(DC1&gt;Assumptions!$X$47,1,0)</f>
        <v>45509.2685</v>
      </c>
      <c r="DD46" s="54">
        <f>-PMT(Assumptions!$X44/12,Assumptions!$X45*12,Assumptions!$X42)*IF(DD1&gt;Assumptions!$X$47,1,0)</f>
        <v>45509.2685</v>
      </c>
      <c r="DE46" s="54">
        <f>-PMT(Assumptions!$X44/12,Assumptions!$X45*12,Assumptions!$X42)*IF(DE1&gt;Assumptions!$X$47,1,0)</f>
        <v>45509.2685</v>
      </c>
      <c r="DF46" s="54">
        <f>-PMT(Assumptions!$X44/12,Assumptions!$X45*12,Assumptions!$X42)*IF(DF1&gt;Assumptions!$X$47,1,0)</f>
        <v>45509.2685</v>
      </c>
      <c r="DG46" s="54">
        <f>-PMT(Assumptions!$X44/12,Assumptions!$X45*12,Assumptions!$X42)*IF(DG1&gt;Assumptions!$X$47,1,0)</f>
        <v>45509.2685</v>
      </c>
      <c r="DH46" s="54">
        <f>-PMT(Assumptions!$X44/12,Assumptions!$X45*12,Assumptions!$X42)*IF(DH1&gt;Assumptions!$X$47,1,0)</f>
        <v>45509.2685</v>
      </c>
      <c r="DI46" s="54">
        <f>-PMT(Assumptions!$X44/12,Assumptions!$X45*12,Assumptions!$X42)*IF(DI1&gt;Assumptions!$X$47,1,0)</f>
        <v>45509.2685</v>
      </c>
      <c r="DJ46" s="54">
        <f>-PMT(Assumptions!$X44/12,Assumptions!$X45*12,Assumptions!$X42)*IF(DJ1&gt;Assumptions!$X$47,1,0)</f>
        <v>45509.2685</v>
      </c>
      <c r="DK46" s="54">
        <f>-PMT(Assumptions!$X44/12,Assumptions!$X45*12,Assumptions!$X42)*IF(DK1&gt;Assumptions!$X$47,1,0)</f>
        <v>45509.2685</v>
      </c>
      <c r="DL46" s="54">
        <f>-PMT(Assumptions!$X44/12,Assumptions!$X45*12,Assumptions!$X42)*IF(DL1&gt;Assumptions!$X$47,1,0)</f>
        <v>45509.2685</v>
      </c>
      <c r="DM46" s="54">
        <f>-PMT(Assumptions!$X44/12,Assumptions!$X45*12,Assumptions!$X42)*IF(DM1&gt;Assumptions!$X$47,1,0)</f>
        <v>45509.2685</v>
      </c>
      <c r="DN46" s="54">
        <f>-PMT(Assumptions!$X44/12,Assumptions!$X45*12,Assumptions!$X42)*IF(DN1&gt;Assumptions!$X$47,1,0)</f>
        <v>45509.2685</v>
      </c>
      <c r="DO46" s="54">
        <f>-PMT(Assumptions!$X44/12,Assumptions!$X45*12,Assumptions!$X42)*IF(DO1&gt;Assumptions!$X$47,1,0)</f>
        <v>45509.2685</v>
      </c>
      <c r="DP46" s="54">
        <f>-PMT(Assumptions!$X44/12,Assumptions!$X45*12,Assumptions!$X42)*IF(DP1&gt;Assumptions!$X$47,1,0)</f>
        <v>45509.2685</v>
      </c>
      <c r="DQ46" s="54">
        <f>-PMT(Assumptions!$X44/12,Assumptions!$X45*12,Assumptions!$X42)*IF(DQ1&gt;Assumptions!$X$47,1,0)</f>
        <v>45509.2685</v>
      </c>
      <c r="DR46" s="54">
        <f>-PMT(Assumptions!$X44/12,Assumptions!$X45*12,Assumptions!$X42)*IF(DR1&gt;Assumptions!$X$47,1,0)</f>
        <v>45509.2685</v>
      </c>
      <c r="DS46" s="54">
        <f>-PMT(Assumptions!$X44/12,Assumptions!$X45*12,Assumptions!$X42)*IF(DS1&gt;Assumptions!$X$47,1,0)</f>
        <v>45509.2685</v>
      </c>
      <c r="DT46" s="54">
        <f>-PMT(Assumptions!$X44/12,Assumptions!$X45*12,Assumptions!$X42)*IF(DT1&gt;Assumptions!$X$47,1,0)</f>
        <v>45509.2685</v>
      </c>
      <c r="DU46" s="54">
        <f>-PMT(Assumptions!$X44/12,Assumptions!$X45*12,Assumptions!$X42)*IF(DU1&gt;Assumptions!$X$47,1,0)</f>
        <v>45509.2685</v>
      </c>
      <c r="DV46" s="54">
        <f>-PMT(Assumptions!$X44/12,Assumptions!$X45*12,Assumptions!$X42)*IF(DV1&gt;Assumptions!$X$47,1,0)</f>
        <v>45509.2685</v>
      </c>
      <c r="DW46" s="54">
        <f>-PMT(Assumptions!$X44/12,Assumptions!$X45*12,Assumptions!$X42)*IF(DW1&gt;Assumptions!$X$47,1,0)</f>
        <v>45509.2685</v>
      </c>
      <c r="DX46" s="54">
        <f>-PMT(Assumptions!$X44/12,Assumptions!$X45*12,Assumptions!$X42)*IF(DX1&gt;Assumptions!$X$47,1,0)</f>
        <v>45509.2685</v>
      </c>
      <c r="DY46" s="54">
        <f>-PMT(Assumptions!$X44/12,Assumptions!$X45*12,Assumptions!$X42)*IF(DY1&gt;Assumptions!$X$47,1,0)</f>
        <v>45509.2685</v>
      </c>
      <c r="DZ46" s="54">
        <f>-PMT(Assumptions!$X44/12,Assumptions!$X45*12,Assumptions!$X42)*IF(DZ1&gt;Assumptions!$X$47,1,0)</f>
        <v>45509.2685</v>
      </c>
      <c r="EA46" s="54">
        <f>-PMT(Assumptions!$X44/12,Assumptions!$X45*12,Assumptions!$X42)*IF(EA1&gt;Assumptions!$X$47,1,0)</f>
        <v>45509.2685</v>
      </c>
      <c r="EB46" s="54">
        <f>-PMT(Assumptions!$X44/12,Assumptions!$X45*12,Assumptions!$X42)*IF(EB1&gt;Assumptions!$X$47,1,0)</f>
        <v>45509.2685</v>
      </c>
      <c r="EC46" s="54">
        <f>-PMT(Assumptions!$X44/12,Assumptions!$X45*12,Assumptions!$X42)*IF(EC1&gt;Assumptions!$X$47,1,0)</f>
        <v>45509.2685</v>
      </c>
      <c r="ED46" s="54">
        <f>-PMT(Assumptions!$X44/12,Assumptions!$X45*12,Assumptions!$X42)*IF(ED1&gt;Assumptions!$X$47,1,0)</f>
        <v>45509.2685</v>
      </c>
      <c r="EE46" s="54">
        <f>-PMT(Assumptions!$X44/12,Assumptions!$X45*12,Assumptions!$X42)*IF(EE1&gt;Assumptions!$X$47,1,0)</f>
        <v>45509.2685</v>
      </c>
    </row>
    <row r="47" ht="15.75" customHeight="1">
      <c r="A47" s="1"/>
      <c r="B47" s="1"/>
      <c r="C47" s="1" t="s">
        <v>174</v>
      </c>
      <c r="D47" s="54">
        <f t="shared" ref="D47:EE47" si="10">D43-D45</f>
        <v>7858163.595</v>
      </c>
      <c r="E47" s="54">
        <f t="shared" si="10"/>
        <v>7858163.595</v>
      </c>
      <c r="F47" s="54">
        <f t="shared" si="10"/>
        <v>7858163.595</v>
      </c>
      <c r="G47" s="54">
        <f t="shared" si="10"/>
        <v>7858163.595</v>
      </c>
      <c r="H47" s="54">
        <f t="shared" si="10"/>
        <v>7858163.595</v>
      </c>
      <c r="I47" s="54">
        <f t="shared" si="10"/>
        <v>7858163.595</v>
      </c>
      <c r="J47" s="54">
        <f t="shared" si="10"/>
        <v>7858163.595</v>
      </c>
      <c r="K47" s="54">
        <f t="shared" si="10"/>
        <v>7858163.595</v>
      </c>
      <c r="L47" s="54">
        <f t="shared" si="10"/>
        <v>7858163.595</v>
      </c>
      <c r="M47" s="54">
        <f t="shared" si="10"/>
        <v>7858163.595</v>
      </c>
      <c r="N47" s="54">
        <f t="shared" si="10"/>
        <v>7858163.595</v>
      </c>
      <c r="O47" s="54">
        <f t="shared" si="10"/>
        <v>7858163.595</v>
      </c>
      <c r="P47" s="54">
        <f t="shared" si="10"/>
        <v>7858163.595</v>
      </c>
      <c r="Q47" s="54">
        <f t="shared" si="10"/>
        <v>7858163.595</v>
      </c>
      <c r="R47" s="54">
        <f t="shared" si="10"/>
        <v>7858163.595</v>
      </c>
      <c r="S47" s="54">
        <f t="shared" si="10"/>
        <v>7858163.595</v>
      </c>
      <c r="T47" s="54">
        <f t="shared" si="10"/>
        <v>7858163.595</v>
      </c>
      <c r="U47" s="54">
        <f t="shared" si="10"/>
        <v>7858163.595</v>
      </c>
      <c r="V47" s="54">
        <f t="shared" si="10"/>
        <v>7858163.595</v>
      </c>
      <c r="W47" s="54">
        <f t="shared" si="10"/>
        <v>7858163.595</v>
      </c>
      <c r="X47" s="54">
        <f t="shared" si="10"/>
        <v>7858163.595</v>
      </c>
      <c r="Y47" s="54">
        <f t="shared" si="10"/>
        <v>7858163.595</v>
      </c>
      <c r="Z47" s="54">
        <f t="shared" si="10"/>
        <v>7858163.595</v>
      </c>
      <c r="AA47" s="54">
        <f t="shared" si="10"/>
        <v>7858163.595</v>
      </c>
      <c r="AB47" s="54">
        <f t="shared" si="10"/>
        <v>7858163.595</v>
      </c>
      <c r="AC47" s="54">
        <f t="shared" si="10"/>
        <v>7858163.595</v>
      </c>
      <c r="AD47" s="54">
        <f t="shared" si="10"/>
        <v>7858163.595</v>
      </c>
      <c r="AE47" s="54">
        <f t="shared" si="10"/>
        <v>7858163.595</v>
      </c>
      <c r="AF47" s="54">
        <f t="shared" si="10"/>
        <v>7858163.595</v>
      </c>
      <c r="AG47" s="54">
        <f t="shared" si="10"/>
        <v>7858163.595</v>
      </c>
      <c r="AH47" s="54">
        <f t="shared" si="10"/>
        <v>7858163.595</v>
      </c>
      <c r="AI47" s="54">
        <f t="shared" si="10"/>
        <v>7858163.595</v>
      </c>
      <c r="AJ47" s="54">
        <f t="shared" si="10"/>
        <v>7858163.595</v>
      </c>
      <c r="AK47" s="54">
        <f t="shared" si="10"/>
        <v>7858163.595</v>
      </c>
      <c r="AL47" s="54">
        <f t="shared" si="10"/>
        <v>7858163.595</v>
      </c>
      <c r="AM47" s="54">
        <f t="shared" si="10"/>
        <v>7858163.595</v>
      </c>
      <c r="AN47" s="54">
        <f t="shared" si="10"/>
        <v>7849849.634</v>
      </c>
      <c r="AO47" s="54">
        <f t="shared" si="10"/>
        <v>7841496.32</v>
      </c>
      <c r="AP47" s="54">
        <f t="shared" si="10"/>
        <v>7833103.468</v>
      </c>
      <c r="AQ47" s="54">
        <f t="shared" si="10"/>
        <v>7824670.889</v>
      </c>
      <c r="AR47" s="54">
        <f t="shared" si="10"/>
        <v>7816198.396</v>
      </c>
      <c r="AS47" s="54">
        <f t="shared" si="10"/>
        <v>7807685.8</v>
      </c>
      <c r="AT47" s="54">
        <f t="shared" si="10"/>
        <v>7799132.911</v>
      </c>
      <c r="AU47" s="54">
        <f t="shared" si="10"/>
        <v>7790539.538</v>
      </c>
      <c r="AV47" s="54">
        <f t="shared" si="10"/>
        <v>7781905.49</v>
      </c>
      <c r="AW47" s="54">
        <f t="shared" si="10"/>
        <v>7773230.574</v>
      </c>
      <c r="AX47" s="54">
        <f t="shared" si="10"/>
        <v>7764514.597</v>
      </c>
      <c r="AY47" s="54">
        <f t="shared" si="10"/>
        <v>7755757.365</v>
      </c>
      <c r="AZ47" s="54">
        <f t="shared" si="10"/>
        <v>7746958.681</v>
      </c>
      <c r="BA47" s="54">
        <f t="shared" si="10"/>
        <v>7738118.35</v>
      </c>
      <c r="BB47" s="54">
        <f t="shared" si="10"/>
        <v>7729236.175</v>
      </c>
      <c r="BC47" s="54">
        <f t="shared" si="10"/>
        <v>7720311.958</v>
      </c>
      <c r="BD47" s="54">
        <f t="shared" si="10"/>
        <v>7711345.499</v>
      </c>
      <c r="BE47" s="54">
        <f t="shared" si="10"/>
        <v>7702336.6</v>
      </c>
      <c r="BF47" s="54">
        <f t="shared" si="10"/>
        <v>7693285.058</v>
      </c>
      <c r="BG47" s="54">
        <f t="shared" si="10"/>
        <v>7684190.672</v>
      </c>
      <c r="BH47" s="54">
        <f t="shared" si="10"/>
        <v>7675053.239</v>
      </c>
      <c r="BI47" s="54">
        <f t="shared" si="10"/>
        <v>7665872.556</v>
      </c>
      <c r="BJ47" s="54">
        <f t="shared" si="10"/>
        <v>7656648.418</v>
      </c>
      <c r="BK47" s="54">
        <f t="shared" si="10"/>
        <v>7647380.618</v>
      </c>
      <c r="BL47" s="54">
        <f t="shared" si="10"/>
        <v>7638068.951</v>
      </c>
      <c r="BM47" s="54">
        <f t="shared" si="10"/>
        <v>7628713.209</v>
      </c>
      <c r="BN47" s="54">
        <f t="shared" si="10"/>
        <v>7619313.183</v>
      </c>
      <c r="BO47" s="54">
        <f t="shared" si="10"/>
        <v>7609868.664</v>
      </c>
      <c r="BP47" s="54">
        <f t="shared" si="10"/>
        <v>7600379.44</v>
      </c>
      <c r="BQ47" s="54">
        <f t="shared" si="10"/>
        <v>7590845.301</v>
      </c>
      <c r="BR47" s="54">
        <f t="shared" si="10"/>
        <v>7581266.034</v>
      </c>
      <c r="BS47" s="54">
        <f t="shared" si="10"/>
        <v>7571641.424</v>
      </c>
      <c r="BT47" s="54">
        <f t="shared" si="10"/>
        <v>7561971.259</v>
      </c>
      <c r="BU47" s="54">
        <f t="shared" si="10"/>
        <v>7552255.321</v>
      </c>
      <c r="BV47" s="54">
        <f t="shared" si="10"/>
        <v>7542493.394</v>
      </c>
      <c r="BW47" s="54">
        <f t="shared" si="10"/>
        <v>7532685.261</v>
      </c>
      <c r="BX47" s="54">
        <f t="shared" si="10"/>
        <v>7522830.703</v>
      </c>
      <c r="BY47" s="54">
        <f t="shared" si="10"/>
        <v>7512929.5</v>
      </c>
      <c r="BZ47" s="54">
        <f t="shared" si="10"/>
        <v>7502981.431</v>
      </c>
      <c r="CA47" s="54">
        <f t="shared" si="10"/>
        <v>7492986.274</v>
      </c>
      <c r="CB47" s="54">
        <f t="shared" si="10"/>
        <v>7482943.808</v>
      </c>
      <c r="CC47" s="54">
        <f t="shared" si="10"/>
        <v>7472853.806</v>
      </c>
      <c r="CD47" s="54">
        <f t="shared" si="10"/>
        <v>7462716.046</v>
      </c>
      <c r="CE47" s="54">
        <f t="shared" si="10"/>
        <v>7452530.3</v>
      </c>
      <c r="CF47" s="54">
        <f t="shared" si="10"/>
        <v>7442296.342</v>
      </c>
      <c r="CG47" s="54">
        <f t="shared" si="10"/>
        <v>7432013.943</v>
      </c>
      <c r="CH47" s="54">
        <f t="shared" si="10"/>
        <v>7421682.873</v>
      </c>
      <c r="CI47" s="54">
        <f t="shared" si="10"/>
        <v>7411302.904</v>
      </c>
      <c r="CJ47" s="54">
        <f t="shared" si="10"/>
        <v>7400873.802</v>
      </c>
      <c r="CK47" s="54">
        <f t="shared" si="10"/>
        <v>7390395.337</v>
      </c>
      <c r="CL47" s="54">
        <f t="shared" si="10"/>
        <v>7379867.273</v>
      </c>
      <c r="CM47" s="54">
        <f t="shared" si="10"/>
        <v>7369289.376</v>
      </c>
      <c r="CN47" s="54">
        <f t="shared" si="10"/>
        <v>7358661.41</v>
      </c>
      <c r="CO47" s="54">
        <f t="shared" si="10"/>
        <v>7347983.139</v>
      </c>
      <c r="CP47" s="54">
        <f t="shared" si="10"/>
        <v>7337254.324</v>
      </c>
      <c r="CQ47" s="54">
        <f t="shared" si="10"/>
        <v>7326474.726</v>
      </c>
      <c r="CR47" s="54">
        <f t="shared" si="10"/>
        <v>7315644.105</v>
      </c>
      <c r="CS47" s="54">
        <f t="shared" si="10"/>
        <v>7304762.218</v>
      </c>
      <c r="CT47" s="54">
        <f t="shared" si="10"/>
        <v>7293828.824</v>
      </c>
      <c r="CU47" s="54">
        <f t="shared" si="10"/>
        <v>7282843.679</v>
      </c>
      <c r="CV47" s="54">
        <f t="shared" si="10"/>
        <v>7271806.537</v>
      </c>
      <c r="CW47" s="54">
        <f t="shared" si="10"/>
        <v>7260717.153</v>
      </c>
      <c r="CX47" s="54">
        <f t="shared" si="10"/>
        <v>7249575.279</v>
      </c>
      <c r="CY47" s="54">
        <f t="shared" si="10"/>
        <v>7238380.667</v>
      </c>
      <c r="CZ47" s="54">
        <f t="shared" si="10"/>
        <v>7227133.067</v>
      </c>
      <c r="DA47" s="54">
        <f t="shared" si="10"/>
        <v>7215832.228</v>
      </c>
      <c r="DB47" s="54">
        <f t="shared" si="10"/>
        <v>7204477.899</v>
      </c>
      <c r="DC47" s="54">
        <f t="shared" si="10"/>
        <v>7193069.826</v>
      </c>
      <c r="DD47" s="54">
        <f t="shared" si="10"/>
        <v>7181607.755</v>
      </c>
      <c r="DE47" s="54">
        <f t="shared" si="10"/>
        <v>7170091.429</v>
      </c>
      <c r="DF47" s="54">
        <f t="shared" si="10"/>
        <v>7158520.594</v>
      </c>
      <c r="DG47" s="54">
        <f t="shared" si="10"/>
        <v>7146894.989</v>
      </c>
      <c r="DH47" s="54">
        <f t="shared" si="10"/>
        <v>7135214.357</v>
      </c>
      <c r="DI47" s="54">
        <f t="shared" si="10"/>
        <v>7123478.437</v>
      </c>
      <c r="DJ47" s="54">
        <f t="shared" si="10"/>
        <v>7111686.966</v>
      </c>
      <c r="DK47" s="54">
        <f t="shared" si="10"/>
        <v>7099839.683</v>
      </c>
      <c r="DL47" s="54">
        <f t="shared" si="10"/>
        <v>7087936.322</v>
      </c>
      <c r="DM47" s="54">
        <f t="shared" si="10"/>
        <v>7075976.619</v>
      </c>
      <c r="DN47" s="54">
        <f t="shared" si="10"/>
        <v>7063960.306</v>
      </c>
      <c r="DO47" s="54">
        <f t="shared" si="10"/>
        <v>7051887.116</v>
      </c>
      <c r="DP47" s="54">
        <f t="shared" si="10"/>
        <v>7039756.78</v>
      </c>
      <c r="DQ47" s="54">
        <f t="shared" si="10"/>
        <v>7027569.027</v>
      </c>
      <c r="DR47" s="54">
        <f t="shared" si="10"/>
        <v>7015323.585</v>
      </c>
      <c r="DS47" s="54">
        <f t="shared" si="10"/>
        <v>7003020.182</v>
      </c>
      <c r="DT47" s="54">
        <f t="shared" si="10"/>
        <v>6990658.542</v>
      </c>
      <c r="DU47" s="54">
        <f t="shared" si="10"/>
        <v>6978238.391</v>
      </c>
      <c r="DV47" s="54">
        <f t="shared" si="10"/>
        <v>6965759.451</v>
      </c>
      <c r="DW47" s="54">
        <f t="shared" si="10"/>
        <v>6953221.444</v>
      </c>
      <c r="DX47" s="54">
        <f t="shared" si="10"/>
        <v>6940624.09</v>
      </c>
      <c r="DY47" s="54">
        <f t="shared" si="10"/>
        <v>6927967.109</v>
      </c>
      <c r="DZ47" s="54">
        <f t="shared" si="10"/>
        <v>6915250.218</v>
      </c>
      <c r="EA47" s="54">
        <f t="shared" si="10"/>
        <v>6902473.134</v>
      </c>
      <c r="EB47" s="54">
        <f t="shared" si="10"/>
        <v>6889635.572</v>
      </c>
      <c r="EC47" s="54">
        <f t="shared" si="10"/>
        <v>6876737.245</v>
      </c>
      <c r="ED47" s="54">
        <f t="shared" si="10"/>
        <v>6863777.866</v>
      </c>
      <c r="EE47" s="54">
        <f t="shared" si="10"/>
        <v>6850757.146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9" t="s">
        <v>198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199</v>
      </c>
      <c r="D50" s="54">
        <f>SUM(E38:P38)/Assumptions!$T64*IF(D1=Assumptions!$T68*12,1,0)</f>
        <v>0</v>
      </c>
      <c r="E50" s="54">
        <f>SUM(F38:Q38)/Assumptions!$T64*IF(E1=Assumptions!$T68*12,1,0)</f>
        <v>0</v>
      </c>
      <c r="F50" s="54">
        <f>SUM(G38:R38)/Assumptions!$T64*IF(F1=Assumptions!$T68*12,1,0)</f>
        <v>0</v>
      </c>
      <c r="G50" s="54">
        <f>SUM(H38:S38)/Assumptions!$T64*IF(G1=Assumptions!$T68*12,1,0)</f>
        <v>0</v>
      </c>
      <c r="H50" s="54">
        <f>SUM(I38:T38)/Assumptions!$T64*IF(H1=Assumptions!$T68*12,1,0)</f>
        <v>0</v>
      </c>
      <c r="I50" s="54">
        <f>SUM(J38:U38)/Assumptions!$T64*IF(I1=Assumptions!$T68*12,1,0)</f>
        <v>0</v>
      </c>
      <c r="J50" s="54">
        <f>SUM(K38:V38)/Assumptions!$T64*IF(J1=Assumptions!$T68*12,1,0)</f>
        <v>0</v>
      </c>
      <c r="K50" s="54">
        <f>SUM(L38:W38)/Assumptions!$T64*IF(K1=Assumptions!$T68*12,1,0)</f>
        <v>0</v>
      </c>
      <c r="L50" s="54">
        <f>SUM(M38:X38)/Assumptions!$T64*IF(L1=Assumptions!$T68*12,1,0)</f>
        <v>0</v>
      </c>
      <c r="M50" s="54">
        <f>SUM(N38:Y38)/Assumptions!$T64*IF(M1=Assumptions!$T68*12,1,0)</f>
        <v>0</v>
      </c>
      <c r="N50" s="54">
        <f>SUM(O38:Z38)/Assumptions!$T64*IF(N1=Assumptions!$T68*12,1,0)</f>
        <v>0</v>
      </c>
      <c r="O50" s="54">
        <f>SUM(P38:AA38)/Assumptions!$T64*IF(O1=Assumptions!$T68*12,1,0)</f>
        <v>0</v>
      </c>
      <c r="P50" s="54">
        <f>SUM(Q38:AB38)/Assumptions!$T64*IF(P1=Assumptions!$T68*12,1,0)</f>
        <v>0</v>
      </c>
      <c r="Q50" s="54">
        <f>SUM(R38:AC38)/Assumptions!$T64*IF(Q1=Assumptions!$T68*12,1,0)</f>
        <v>0</v>
      </c>
      <c r="R50" s="54">
        <f>SUM(S38:AD38)/Assumptions!$T64*IF(R1=Assumptions!$T68*12,1,0)</f>
        <v>0</v>
      </c>
      <c r="S50" s="54">
        <f>SUM(T38:AE38)/Assumptions!$T64*IF(S1=Assumptions!$T68*12,1,0)</f>
        <v>0</v>
      </c>
      <c r="T50" s="54">
        <f>SUM(U38:AF38)/Assumptions!$T64*IF(T1=Assumptions!$T68*12,1,0)</f>
        <v>0</v>
      </c>
      <c r="U50" s="54">
        <f>SUM(V38:AG38)/Assumptions!$T64*IF(U1=Assumptions!$T68*12,1,0)</f>
        <v>0</v>
      </c>
      <c r="V50" s="54">
        <f>SUM(W38:AH38)/Assumptions!$T64*IF(V1=Assumptions!$T68*12,1,0)</f>
        <v>0</v>
      </c>
      <c r="W50" s="54">
        <f>SUM(X38:AI38)/Assumptions!$T64*IF(W1=Assumptions!$T68*12,1,0)</f>
        <v>0</v>
      </c>
      <c r="X50" s="54">
        <f>SUM(Y38:AJ38)/Assumptions!$T64*IF(X1=Assumptions!$T68*12,1,0)</f>
        <v>0</v>
      </c>
      <c r="Y50" s="54">
        <f>SUM(Z38:AK38)/Assumptions!$T64*IF(Y1=Assumptions!$T68*12,1,0)</f>
        <v>0</v>
      </c>
      <c r="Z50" s="54">
        <f>SUM(AA38:AL38)/Assumptions!$T64*IF(Z1=Assumptions!$T68*12,1,0)</f>
        <v>0</v>
      </c>
      <c r="AA50" s="54">
        <f>SUM(AB38:AM38)/Assumptions!$T64*IF(AA1=Assumptions!$T68*12,1,0)</f>
        <v>0</v>
      </c>
      <c r="AB50" s="54">
        <f>SUM(AC38:AN38)/Assumptions!$T64*IF(AB1=Assumptions!$T68*12,1,0)</f>
        <v>0</v>
      </c>
      <c r="AC50" s="54">
        <f>SUM(AD38:AO38)/Assumptions!$T64*IF(AC1=Assumptions!$T68*12,1,0)</f>
        <v>0</v>
      </c>
      <c r="AD50" s="54">
        <f>SUM(AE38:AP38)/Assumptions!$T64*IF(AD1=Assumptions!$T68*12,1,0)</f>
        <v>0</v>
      </c>
      <c r="AE50" s="54">
        <f>SUM(AF38:AQ38)/Assumptions!$T64*IF(AE1=Assumptions!$T68*12,1,0)</f>
        <v>0</v>
      </c>
      <c r="AF50" s="54">
        <f>SUM(AG38:AR38)/Assumptions!$T64*IF(AF1=Assumptions!$T68*12,1,0)</f>
        <v>0</v>
      </c>
      <c r="AG50" s="54">
        <f>SUM(AH38:AS38)/Assumptions!$T64*IF(AG1=Assumptions!$T68*12,1,0)</f>
        <v>0</v>
      </c>
      <c r="AH50" s="54">
        <f>SUM(AI38:AT38)/Assumptions!$T64*IF(AH1=Assumptions!$T68*12,1,0)</f>
        <v>0</v>
      </c>
      <c r="AI50" s="54">
        <f>SUM(AJ38:AU38)/Assumptions!$T64*IF(AI1=Assumptions!$T68*12,1,0)</f>
        <v>0</v>
      </c>
      <c r="AJ50" s="54">
        <f>SUM(AK38:AV38)/Assumptions!$T64*IF(AJ1=Assumptions!$T68*12,1,0)</f>
        <v>0</v>
      </c>
      <c r="AK50" s="54">
        <f>SUM(AL38:AW38)/Assumptions!$T64*IF(AK1=Assumptions!$T68*12,1,0)</f>
        <v>0</v>
      </c>
      <c r="AL50" s="54">
        <f>SUM(AM38:AX38)/Assumptions!$T64*IF(AL1=Assumptions!$T68*12,1,0)</f>
        <v>0</v>
      </c>
      <c r="AM50" s="54">
        <f>SUM(AN38:AY38)/Assumptions!$T64*IF(AM1=Assumptions!$T68*12,1,0)</f>
        <v>0</v>
      </c>
      <c r="AN50" s="54">
        <f>SUM(AO38:AZ38)/Assumptions!$T64*IF(AN1=Assumptions!$T68*12,1,0)</f>
        <v>0</v>
      </c>
      <c r="AO50" s="54">
        <f>SUM(AP38:BA38)/Assumptions!$T64*IF(AO1=Assumptions!$T68*12,1,0)</f>
        <v>0</v>
      </c>
      <c r="AP50" s="54">
        <f>SUM(AQ38:BB38)/Assumptions!$T64*IF(AP1=Assumptions!$T68*12,1,0)</f>
        <v>0</v>
      </c>
      <c r="AQ50" s="54">
        <f>SUM(AR38:BC38)/Assumptions!$T64*IF(AQ1=Assumptions!$T68*12,1,0)</f>
        <v>0</v>
      </c>
      <c r="AR50" s="54">
        <f>SUM(AS38:BD38)/Assumptions!$T64*IF(AR1=Assumptions!$T68*12,1,0)</f>
        <v>0</v>
      </c>
      <c r="AS50" s="54">
        <f>SUM(AT38:BE38)/Assumptions!$T64*IF(AS1=Assumptions!$T68*12,1,0)</f>
        <v>0</v>
      </c>
      <c r="AT50" s="54">
        <f>SUM(AU38:BF38)/Assumptions!$T64*IF(AT1=Assumptions!$T68*12,1,0)</f>
        <v>0</v>
      </c>
      <c r="AU50" s="54">
        <f>SUM(AV38:BG38)/Assumptions!$T64*IF(AU1=Assumptions!$T68*12,1,0)</f>
        <v>0</v>
      </c>
      <c r="AV50" s="54">
        <f>SUM(AW38:BH38)/Assumptions!$T64*IF(AV1=Assumptions!$T68*12,1,0)</f>
        <v>0</v>
      </c>
      <c r="AW50" s="54">
        <f>SUM(AX38:BI38)/Assumptions!$T64*IF(AW1=Assumptions!$T68*12,1,0)</f>
        <v>0</v>
      </c>
      <c r="AX50" s="54">
        <f>SUM(AY38:BJ38)/Assumptions!$T64*IF(AX1=Assumptions!$T68*12,1,0)</f>
        <v>0</v>
      </c>
      <c r="AY50" s="54">
        <f>SUM(AZ38:BK38)/Assumptions!$T64*IF(AY1=Assumptions!$T68*12,1,0)</f>
        <v>0</v>
      </c>
      <c r="AZ50" s="54">
        <f>SUM(BA38:BL38)/Assumptions!$T64*IF(AZ1=Assumptions!$T68*12,1,0)</f>
        <v>0</v>
      </c>
      <c r="BA50" s="54">
        <f>SUM(BB38:BM38)/Assumptions!$T64*IF(BA1=Assumptions!$T68*12,1,0)</f>
        <v>0</v>
      </c>
      <c r="BB50" s="54">
        <f>SUM(BC38:BN38)/Assumptions!$T64*IF(BB1=Assumptions!$T68*12,1,0)</f>
        <v>0</v>
      </c>
      <c r="BC50" s="54">
        <f>SUM(BD38:BO38)/Assumptions!$T64*IF(BC1=Assumptions!$T68*12,1,0)</f>
        <v>0</v>
      </c>
      <c r="BD50" s="54">
        <f>SUM(BE38:BP38)/Assumptions!$T64*IF(BD1=Assumptions!$T68*12,1,0)</f>
        <v>0</v>
      </c>
      <c r="BE50" s="54">
        <f>SUM(BF38:BQ38)/Assumptions!$T64*IF(BE1=Assumptions!$T68*12,1,0)</f>
        <v>0</v>
      </c>
      <c r="BF50" s="54">
        <f>SUM(BG38:BR38)/Assumptions!$T64*IF(BF1=Assumptions!$T68*12,1,0)</f>
        <v>0</v>
      </c>
      <c r="BG50" s="54">
        <f>SUM(BH38:BS38)/Assumptions!$T64*IF(BG1=Assumptions!$T68*12,1,0)</f>
        <v>0</v>
      </c>
      <c r="BH50" s="54">
        <f>SUM(BI38:BT38)/Assumptions!$T64*IF(BH1=Assumptions!$T68*12,1,0)</f>
        <v>0</v>
      </c>
      <c r="BI50" s="54">
        <f>SUM(BJ38:BU38)/Assumptions!$T64*IF(BI1=Assumptions!$T68*12,1,0)</f>
        <v>0</v>
      </c>
      <c r="BJ50" s="54">
        <f>SUM(BK38:BV38)/Assumptions!$T64*IF(BJ1=Assumptions!$T68*12,1,0)</f>
        <v>0</v>
      </c>
      <c r="BK50" s="54">
        <f>SUM(BL38:BW38)/Assumptions!$T64*IF(BK1=Assumptions!$T68*12,1,0)</f>
        <v>0</v>
      </c>
      <c r="BL50" s="54">
        <f>SUM(BM38:BX38)/Assumptions!$T64*IF(BL1=Assumptions!$T68*12,1,0)</f>
        <v>0</v>
      </c>
      <c r="BM50" s="54">
        <f>SUM(BN38:BY38)/Assumptions!$T64*IF(BM1=Assumptions!$T68*12,1,0)</f>
        <v>0</v>
      </c>
      <c r="BN50" s="54">
        <f>SUM(BO38:BZ38)/Assumptions!$T64*IF(BN1=Assumptions!$T68*12,1,0)</f>
        <v>0</v>
      </c>
      <c r="BO50" s="54">
        <f>SUM(BP38:CA38)/Assumptions!$T64*IF(BO1=Assumptions!$T68*12,1,0)</f>
        <v>0</v>
      </c>
      <c r="BP50" s="54">
        <f>SUM(BQ38:CB38)/Assumptions!$T64*IF(BP1=Assumptions!$T68*12,1,0)</f>
        <v>0</v>
      </c>
      <c r="BQ50" s="54">
        <f>SUM(BR38:CC38)/Assumptions!$T64*IF(BQ1=Assumptions!$T68*12,1,0)</f>
        <v>0</v>
      </c>
      <c r="BR50" s="54">
        <f>SUM(BS38:CD38)/Assumptions!$T64*IF(BR1=Assumptions!$T68*12,1,0)</f>
        <v>0</v>
      </c>
      <c r="BS50" s="54">
        <f>SUM(BT38:CE38)/Assumptions!$T64*IF(BS1=Assumptions!$T68*12,1,0)</f>
        <v>0</v>
      </c>
      <c r="BT50" s="54">
        <f>SUM(BU38:CF38)/Assumptions!$T64*IF(BT1=Assumptions!$T68*12,1,0)</f>
        <v>0</v>
      </c>
      <c r="BU50" s="54">
        <f>SUM(BV38:CG38)/Assumptions!$T64*IF(BU1=Assumptions!$T68*12,1,0)</f>
        <v>0</v>
      </c>
      <c r="BV50" s="54">
        <f>SUM(BW38:CH38)/Assumptions!$T64*IF(BV1=Assumptions!$T68*12,1,0)</f>
        <v>0</v>
      </c>
      <c r="BW50" s="54">
        <f>SUM(BX38:CI38)/Assumptions!$T64*IF(BW1=Assumptions!$T68*12,1,0)</f>
        <v>0</v>
      </c>
      <c r="BX50" s="54">
        <f>SUM(BY38:CJ38)/Assumptions!$T64*IF(BX1=Assumptions!$T68*12,1,0)</f>
        <v>0</v>
      </c>
      <c r="BY50" s="54">
        <f>SUM(BZ38:CK38)/Assumptions!$T64*IF(BY1=Assumptions!$T68*12,1,0)</f>
        <v>0</v>
      </c>
      <c r="BZ50" s="54">
        <f>SUM(CA38:CL38)/Assumptions!$T64*IF(BZ1=Assumptions!$T68*12,1,0)</f>
        <v>0</v>
      </c>
      <c r="CA50" s="54">
        <f>SUM(CB38:CM38)/Assumptions!$T64*IF(CA1=Assumptions!$T68*12,1,0)</f>
        <v>0</v>
      </c>
      <c r="CB50" s="54">
        <f>SUM(CC38:CN38)/Assumptions!$T64*IF(CB1=Assumptions!$T68*12,1,0)</f>
        <v>0</v>
      </c>
      <c r="CC50" s="54">
        <f>SUM(CD38:CO38)/Assumptions!$T64*IF(CC1=Assumptions!$T68*12,1,0)</f>
        <v>0</v>
      </c>
      <c r="CD50" s="54">
        <f>SUM(CE38:CP38)/Assumptions!$T64*IF(CD1=Assumptions!$T68*12,1,0)</f>
        <v>0</v>
      </c>
      <c r="CE50" s="54">
        <f>SUM(CF38:CQ38)/Assumptions!$T64*IF(CE1=Assumptions!$T68*12,1,0)</f>
        <v>0</v>
      </c>
      <c r="CF50" s="54">
        <f>SUM(CG38:CR38)/Assumptions!$T64*IF(CF1=Assumptions!$T68*12,1,0)</f>
        <v>0</v>
      </c>
      <c r="CG50" s="54">
        <f>SUM(CH38:CS38)/Assumptions!$T64*IF(CG1=Assumptions!$T68*12,1,0)</f>
        <v>0</v>
      </c>
      <c r="CH50" s="54">
        <f>SUM(CI38:CT38)/Assumptions!$T64*IF(CH1=Assumptions!$T68*12,1,0)</f>
        <v>0</v>
      </c>
      <c r="CI50" s="54">
        <f>SUM(CJ38:CU38)/Assumptions!$T64*IF(CI1=Assumptions!$T68*12,1,0)</f>
        <v>0</v>
      </c>
      <c r="CJ50" s="54">
        <f>SUM(CK38:CV38)/Assumptions!$T64*IF(CJ1=Assumptions!$T68*12,1,0)</f>
        <v>0</v>
      </c>
      <c r="CK50" s="54">
        <f>SUM(CL38:CW38)/Assumptions!$T64*IF(CK1=Assumptions!$T68*12,1,0)</f>
        <v>0</v>
      </c>
      <c r="CL50" s="54">
        <f>SUM(CM38:CX38)/Assumptions!$T64*IF(CL1=Assumptions!$T68*12,1,0)</f>
        <v>0</v>
      </c>
      <c r="CM50" s="54">
        <f>SUM(CN38:CY38)/Assumptions!$T64*IF(CM1=Assumptions!$T68*12,1,0)</f>
        <v>0</v>
      </c>
      <c r="CN50" s="54">
        <f>SUM(CO38:CZ38)/Assumptions!$T64*IF(CN1=Assumptions!$T68*12,1,0)</f>
        <v>0</v>
      </c>
      <c r="CO50" s="54">
        <f>SUM(CP38:DA38)/Assumptions!$T64*IF(CO1=Assumptions!$T68*12,1,0)</f>
        <v>0</v>
      </c>
      <c r="CP50" s="54">
        <f>SUM(CQ38:DB38)/Assumptions!$T64*IF(CP1=Assumptions!$T68*12,1,0)</f>
        <v>0</v>
      </c>
      <c r="CQ50" s="54">
        <f>SUM(CR38:DC38)/Assumptions!$T64*IF(CQ1=Assumptions!$T68*12,1,0)</f>
        <v>0</v>
      </c>
      <c r="CR50" s="54">
        <f>SUM(CS38:DD38)/Assumptions!$T64*IF(CR1=Assumptions!$T68*12,1,0)</f>
        <v>0</v>
      </c>
      <c r="CS50" s="54">
        <f>SUM(CT38:DE38)/Assumptions!$T64*IF(CS1=Assumptions!$T68*12,1,0)</f>
        <v>0</v>
      </c>
      <c r="CT50" s="54">
        <f>SUM(CU38:DF38)/Assumptions!$T64*IF(CT1=Assumptions!$T68*12,1,0)</f>
        <v>0</v>
      </c>
      <c r="CU50" s="54">
        <f>SUM(CV38:DG38)/Assumptions!$T64*IF(CU1=Assumptions!$T68*12,1,0)</f>
        <v>0</v>
      </c>
      <c r="CV50" s="54">
        <f>SUM(CW38:DH38)/Assumptions!$T64*IF(CV1=Assumptions!$T68*12,1,0)</f>
        <v>0</v>
      </c>
      <c r="CW50" s="54">
        <f>SUM(CX38:DI38)/Assumptions!$T64*IF(CW1=Assumptions!$T68*12,1,0)</f>
        <v>0</v>
      </c>
      <c r="CX50" s="54">
        <f>SUM(CY38:DJ38)/Assumptions!$T64*IF(CX1=Assumptions!$T68*12,1,0)</f>
        <v>0</v>
      </c>
      <c r="CY50" s="54">
        <f>SUM(CZ38:DK38)/Assumptions!$T64*IF(CY1=Assumptions!$T68*12,1,0)</f>
        <v>0</v>
      </c>
      <c r="CZ50" s="54">
        <f>SUM(DA38:DL38)/Assumptions!$T64*IF(CZ1=Assumptions!$T68*12,1,0)</f>
        <v>0</v>
      </c>
      <c r="DA50" s="54">
        <f>SUM(DB38:DM38)/Assumptions!$T64*IF(DA1=Assumptions!$T68*12,1,0)</f>
        <v>0</v>
      </c>
      <c r="DB50" s="54">
        <f>SUM(DC38:DN38)/Assumptions!$T64*IF(DB1=Assumptions!$T68*12,1,0)</f>
        <v>0</v>
      </c>
      <c r="DC50" s="54">
        <f>SUM(DD38:DO38)/Assumptions!$T64*IF(DC1=Assumptions!$T68*12,1,0)</f>
        <v>0</v>
      </c>
      <c r="DD50" s="54">
        <f>SUM(DE38:DP38)/Assumptions!$T64*IF(DD1=Assumptions!$T68*12,1,0)</f>
        <v>0</v>
      </c>
      <c r="DE50" s="54">
        <f>SUM(DF38:DQ38)/Assumptions!$T64*IF(DE1=Assumptions!$T68*12,1,0)</f>
        <v>0</v>
      </c>
      <c r="DF50" s="54">
        <f>SUM(DG38:DR38)/Assumptions!$T64*IF(DF1=Assumptions!$T68*12,1,0)</f>
        <v>0</v>
      </c>
      <c r="DG50" s="54">
        <f>SUM(DH38:DS38)/Assumptions!$T64*IF(DG1=Assumptions!$T68*12,1,0)</f>
        <v>0</v>
      </c>
      <c r="DH50" s="54">
        <f>SUM(DI38:DT38)/Assumptions!$T64*IF(DH1=Assumptions!$T68*12,1,0)</f>
        <v>0</v>
      </c>
      <c r="DI50" s="54">
        <f>SUM(DJ38:DU38)/Assumptions!$T64*IF(DI1=Assumptions!$T68*12,1,0)</f>
        <v>0</v>
      </c>
      <c r="DJ50" s="54">
        <f>SUM(DK38:DV38)/Assumptions!$T64*IF(DJ1=Assumptions!$T68*12,1,0)</f>
        <v>0</v>
      </c>
      <c r="DK50" s="54">
        <f>SUM(DL38:DW38)/Assumptions!$T64*IF(DK1=Assumptions!$T68*12,1,0)</f>
        <v>0</v>
      </c>
      <c r="DL50" s="54">
        <f>SUM(DM38:DX38)/Assumptions!$T64*IF(DL1=Assumptions!$T68*12,1,0)</f>
        <v>0</v>
      </c>
      <c r="DM50" s="54">
        <f>SUM(DN38:DY38)/Assumptions!$T64*IF(DM1=Assumptions!$T68*12,1,0)</f>
        <v>0</v>
      </c>
      <c r="DN50" s="54">
        <f>SUM(DO38:DZ38)/Assumptions!$T64*IF(DN1=Assumptions!$T68*12,1,0)</f>
        <v>0</v>
      </c>
      <c r="DO50" s="54">
        <f>SUM(DP38:EA38)/Assumptions!$T64*IF(DO1=Assumptions!$T68*12,1,0)</f>
        <v>0</v>
      </c>
      <c r="DP50" s="54">
        <f>SUM(DQ38:EB38)/Assumptions!$T64*IF(DP1=Assumptions!$T68*12,1,0)</f>
        <v>0</v>
      </c>
      <c r="DQ50" s="54">
        <f>SUM(DR38:EC38)/Assumptions!$T64*IF(DQ1=Assumptions!$T68*12,1,0)</f>
        <v>0</v>
      </c>
      <c r="DR50" s="54">
        <f>SUM(DS38:ED38)/Assumptions!$T64*IF(DR1=Assumptions!$T68*12,1,0)</f>
        <v>0</v>
      </c>
      <c r="DS50" s="54">
        <f>SUM(DT38:EE38)/Assumptions!$T64*IF(DS1=Assumptions!$T68*12,1,0)</f>
        <v>18221820.32</v>
      </c>
      <c r="DT50" s="54">
        <f>SUM(DU38:EF38)/Assumptions!$T64*IF(DT1=Assumptions!$T68*12,1,0)</f>
        <v>0</v>
      </c>
      <c r="DU50" s="54">
        <f>SUM(DV38:EG38)/Assumptions!$T64*IF(DU1=Assumptions!$T68*12,1,0)</f>
        <v>0</v>
      </c>
      <c r="DV50" s="54">
        <f>SUM(DW38:EH38)/Assumptions!$T64*IF(DV1=Assumptions!$T68*12,1,0)</f>
        <v>0</v>
      </c>
      <c r="DW50" s="54">
        <f>SUM(DX38:EI38)/Assumptions!$T64*IF(DW1=Assumptions!$T68*12,1,0)</f>
        <v>0</v>
      </c>
      <c r="DX50" s="54">
        <f>SUM(DY38:EJ38)/Assumptions!$T64*IF(DX1=Assumptions!$T68*12,1,0)</f>
        <v>0</v>
      </c>
      <c r="DY50" s="54">
        <f>SUM(DZ38:EK38)/Assumptions!$T64*IF(DY1=Assumptions!$T68*12,1,0)</f>
        <v>0</v>
      </c>
      <c r="DZ50" s="54">
        <f>SUM(EA38:EL38)/Assumptions!$T64*IF(DZ1=Assumptions!$T68*12,1,0)</f>
        <v>0</v>
      </c>
      <c r="EA50" s="54">
        <f>SUM(EB38:EM38)/Assumptions!$T64*IF(EA1=Assumptions!$T68*12,1,0)</f>
        <v>0</v>
      </c>
      <c r="EB50" s="54">
        <f>SUM(EC38:EN38)/Assumptions!$T64*IF(EB1=Assumptions!$T68*12,1,0)</f>
        <v>0</v>
      </c>
      <c r="EC50" s="54">
        <f>SUM(ED38:EO38)/Assumptions!$T64*IF(EC1=Assumptions!$T68*12,1,0)</f>
        <v>0</v>
      </c>
      <c r="ED50" s="54">
        <f>SUM(EE38:EP38)/Assumptions!$T64*IF(ED1=Assumptions!$T68*12,1,0)</f>
        <v>0</v>
      </c>
      <c r="EE50" s="54">
        <f>SUM(EF38:EQ38)/Assumptions!$T64*IF(EE1=Assumptions!$T68*12,1,0)</f>
        <v>0</v>
      </c>
    </row>
    <row r="51" ht="15.75" customHeight="1">
      <c r="A51" s="1"/>
      <c r="B51" s="1"/>
      <c r="C51" s="1" t="s">
        <v>120</v>
      </c>
      <c r="D51" s="54">
        <f>-D50*Assumptions!$T65</f>
        <v>0</v>
      </c>
      <c r="E51" s="54">
        <f>-E50*Assumptions!$T65</f>
        <v>0</v>
      </c>
      <c r="F51" s="54">
        <f>-F50*Assumptions!$T65</f>
        <v>0</v>
      </c>
      <c r="G51" s="54">
        <f>-G50*Assumptions!$T65</f>
        <v>0</v>
      </c>
      <c r="H51" s="54">
        <f>-H50*Assumptions!$T65</f>
        <v>0</v>
      </c>
      <c r="I51" s="54">
        <f>-I50*Assumptions!$T65</f>
        <v>0</v>
      </c>
      <c r="J51" s="54">
        <f>-J50*Assumptions!$T65</f>
        <v>0</v>
      </c>
      <c r="K51" s="54">
        <f>-K50*Assumptions!$T65</f>
        <v>0</v>
      </c>
      <c r="L51" s="54">
        <f>-L50*Assumptions!$T65</f>
        <v>0</v>
      </c>
      <c r="M51" s="54">
        <f>-M50*Assumptions!$T65</f>
        <v>0</v>
      </c>
      <c r="N51" s="54">
        <f>-N50*Assumptions!$T65</f>
        <v>0</v>
      </c>
      <c r="O51" s="54">
        <f>-O50*Assumptions!$T65</f>
        <v>0</v>
      </c>
      <c r="P51" s="54">
        <f>-P50*Assumptions!$T65</f>
        <v>0</v>
      </c>
      <c r="Q51" s="54">
        <f>-Q50*Assumptions!$T65</f>
        <v>0</v>
      </c>
      <c r="R51" s="54">
        <f>-R50*Assumptions!$T65</f>
        <v>0</v>
      </c>
      <c r="S51" s="54">
        <f>-S50*Assumptions!$T65</f>
        <v>0</v>
      </c>
      <c r="T51" s="54">
        <f>-T50*Assumptions!$T65</f>
        <v>0</v>
      </c>
      <c r="U51" s="54">
        <f>-U50*Assumptions!$T65</f>
        <v>0</v>
      </c>
      <c r="V51" s="54">
        <f>-V50*Assumptions!$T65</f>
        <v>0</v>
      </c>
      <c r="W51" s="54">
        <f>-W50*Assumptions!$T65</f>
        <v>0</v>
      </c>
      <c r="X51" s="54">
        <f>-X50*Assumptions!$T65</f>
        <v>0</v>
      </c>
      <c r="Y51" s="54">
        <f>-Y50*Assumptions!$T65</f>
        <v>0</v>
      </c>
      <c r="Z51" s="54">
        <f>-Z50*Assumptions!$T65</f>
        <v>0</v>
      </c>
      <c r="AA51" s="54">
        <f>-AA50*Assumptions!$T65</f>
        <v>0</v>
      </c>
      <c r="AB51" s="54">
        <f>-AB50*Assumptions!$T65</f>
        <v>0</v>
      </c>
      <c r="AC51" s="54">
        <f>-AC50*Assumptions!$T65</f>
        <v>0</v>
      </c>
      <c r="AD51" s="54">
        <f>-AD50*Assumptions!$T65</f>
        <v>0</v>
      </c>
      <c r="AE51" s="54">
        <f>-AE50*Assumptions!$T65</f>
        <v>0</v>
      </c>
      <c r="AF51" s="54">
        <f>-AF50*Assumptions!$T65</f>
        <v>0</v>
      </c>
      <c r="AG51" s="54">
        <f>-AG50*Assumptions!$T65</f>
        <v>0</v>
      </c>
      <c r="AH51" s="54">
        <f>-AH50*Assumptions!$T65</f>
        <v>0</v>
      </c>
      <c r="AI51" s="54">
        <f>-AI50*Assumptions!$T65</f>
        <v>0</v>
      </c>
      <c r="AJ51" s="54">
        <f>-AJ50*Assumptions!$T65</f>
        <v>0</v>
      </c>
      <c r="AK51" s="54">
        <f>-AK50*Assumptions!$T65</f>
        <v>0</v>
      </c>
      <c r="AL51" s="54">
        <f>-AL50*Assumptions!$T65</f>
        <v>0</v>
      </c>
      <c r="AM51" s="54">
        <f>-AM50*Assumptions!$T65</f>
        <v>0</v>
      </c>
      <c r="AN51" s="54">
        <f>-AN50*Assumptions!$T65</f>
        <v>0</v>
      </c>
      <c r="AO51" s="54">
        <f>-AO50*Assumptions!$T65</f>
        <v>0</v>
      </c>
      <c r="AP51" s="54">
        <f>-AP50*Assumptions!$T65</f>
        <v>0</v>
      </c>
      <c r="AQ51" s="54">
        <f>-AQ50*Assumptions!$T65</f>
        <v>0</v>
      </c>
      <c r="AR51" s="54">
        <f>-AR50*Assumptions!$T65</f>
        <v>0</v>
      </c>
      <c r="AS51" s="54">
        <f>-AS50*Assumptions!$T65</f>
        <v>0</v>
      </c>
      <c r="AT51" s="54">
        <f>-AT50*Assumptions!$T65</f>
        <v>0</v>
      </c>
      <c r="AU51" s="54">
        <f>-AU50*Assumptions!$T65</f>
        <v>0</v>
      </c>
      <c r="AV51" s="54">
        <f>-AV50*Assumptions!$T65</f>
        <v>0</v>
      </c>
      <c r="AW51" s="54">
        <f>-AW50*Assumptions!$T65</f>
        <v>0</v>
      </c>
      <c r="AX51" s="54">
        <f>-AX50*Assumptions!$T65</f>
        <v>0</v>
      </c>
      <c r="AY51" s="54">
        <f>-AY50*Assumptions!$T65</f>
        <v>0</v>
      </c>
      <c r="AZ51" s="54">
        <f>-AZ50*Assumptions!$T65</f>
        <v>0</v>
      </c>
      <c r="BA51" s="54">
        <f>-BA50*Assumptions!$T65</f>
        <v>0</v>
      </c>
      <c r="BB51" s="54">
        <f>-BB50*Assumptions!$T65</f>
        <v>0</v>
      </c>
      <c r="BC51" s="54">
        <f>-BC50*Assumptions!$T65</f>
        <v>0</v>
      </c>
      <c r="BD51" s="54">
        <f>-BD50*Assumptions!$T65</f>
        <v>0</v>
      </c>
      <c r="BE51" s="54">
        <f>-BE50*Assumptions!$T65</f>
        <v>0</v>
      </c>
      <c r="BF51" s="54">
        <f>-BF50*Assumptions!$T65</f>
        <v>0</v>
      </c>
      <c r="BG51" s="54">
        <f>-BG50*Assumptions!$T65</f>
        <v>0</v>
      </c>
      <c r="BH51" s="54">
        <f>-BH50*Assumptions!$T65</f>
        <v>0</v>
      </c>
      <c r="BI51" s="54">
        <f>-BI50*Assumptions!$T65</f>
        <v>0</v>
      </c>
      <c r="BJ51" s="54">
        <f>-BJ50*Assumptions!$T65</f>
        <v>0</v>
      </c>
      <c r="BK51" s="54">
        <f>-BK50*Assumptions!$T65</f>
        <v>0</v>
      </c>
      <c r="BL51" s="54">
        <f>-BL50*Assumptions!$T65</f>
        <v>0</v>
      </c>
      <c r="BM51" s="54">
        <f>-BM50*Assumptions!$T65</f>
        <v>0</v>
      </c>
      <c r="BN51" s="54">
        <f>-BN50*Assumptions!$T65</f>
        <v>0</v>
      </c>
      <c r="BO51" s="54">
        <f>-BO50*Assumptions!$T65</f>
        <v>0</v>
      </c>
      <c r="BP51" s="54">
        <f>-BP50*Assumptions!$T65</f>
        <v>0</v>
      </c>
      <c r="BQ51" s="54">
        <f>-BQ50*Assumptions!$T65</f>
        <v>0</v>
      </c>
      <c r="BR51" s="54">
        <f>-BR50*Assumptions!$T65</f>
        <v>0</v>
      </c>
      <c r="BS51" s="54">
        <f>-BS50*Assumptions!$T65</f>
        <v>0</v>
      </c>
      <c r="BT51" s="54">
        <f>-BT50*Assumptions!$T65</f>
        <v>0</v>
      </c>
      <c r="BU51" s="54">
        <f>-BU50*Assumptions!$T65</f>
        <v>0</v>
      </c>
      <c r="BV51" s="54">
        <f>-BV50*Assumptions!$T65</f>
        <v>0</v>
      </c>
      <c r="BW51" s="54">
        <f>-BW50*Assumptions!$T65</f>
        <v>0</v>
      </c>
      <c r="BX51" s="54">
        <f>-BX50*Assumptions!$T65</f>
        <v>0</v>
      </c>
      <c r="BY51" s="54">
        <f>-BY50*Assumptions!$T65</f>
        <v>0</v>
      </c>
      <c r="BZ51" s="54">
        <f>-BZ50*Assumptions!$T65</f>
        <v>0</v>
      </c>
      <c r="CA51" s="54">
        <f>-CA50*Assumptions!$T65</f>
        <v>0</v>
      </c>
      <c r="CB51" s="54">
        <f>-CB50*Assumptions!$T65</f>
        <v>0</v>
      </c>
      <c r="CC51" s="54">
        <f>-CC50*Assumptions!$T65</f>
        <v>0</v>
      </c>
      <c r="CD51" s="54">
        <f>-CD50*Assumptions!$T65</f>
        <v>0</v>
      </c>
      <c r="CE51" s="54">
        <f>-CE50*Assumptions!$T65</f>
        <v>0</v>
      </c>
      <c r="CF51" s="54">
        <f>-CF50*Assumptions!$T65</f>
        <v>0</v>
      </c>
      <c r="CG51" s="54">
        <f>-CG50*Assumptions!$T65</f>
        <v>0</v>
      </c>
      <c r="CH51" s="54">
        <f>-CH50*Assumptions!$T65</f>
        <v>0</v>
      </c>
      <c r="CI51" s="54">
        <f>-CI50*Assumptions!$T65</f>
        <v>0</v>
      </c>
      <c r="CJ51" s="54">
        <f>-CJ50*Assumptions!$T65</f>
        <v>0</v>
      </c>
      <c r="CK51" s="54">
        <f>-CK50*Assumptions!$T65</f>
        <v>0</v>
      </c>
      <c r="CL51" s="54">
        <f>-CL50*Assumptions!$T65</f>
        <v>0</v>
      </c>
      <c r="CM51" s="54">
        <f>-CM50*Assumptions!$T65</f>
        <v>0</v>
      </c>
      <c r="CN51" s="54">
        <f>-CN50*Assumptions!$T65</f>
        <v>0</v>
      </c>
      <c r="CO51" s="54">
        <f>-CO50*Assumptions!$T65</f>
        <v>0</v>
      </c>
      <c r="CP51" s="54">
        <f>-CP50*Assumptions!$T65</f>
        <v>0</v>
      </c>
      <c r="CQ51" s="54">
        <f>-CQ50*Assumptions!$T65</f>
        <v>0</v>
      </c>
      <c r="CR51" s="54">
        <f>-CR50*Assumptions!$T65</f>
        <v>0</v>
      </c>
      <c r="CS51" s="54">
        <f>-CS50*Assumptions!$T65</f>
        <v>0</v>
      </c>
      <c r="CT51" s="54">
        <f>-CT50*Assumptions!$T65</f>
        <v>0</v>
      </c>
      <c r="CU51" s="54">
        <f>-CU50*Assumptions!$T65</f>
        <v>0</v>
      </c>
      <c r="CV51" s="54">
        <f>-CV50*Assumptions!$T65</f>
        <v>0</v>
      </c>
      <c r="CW51" s="54">
        <f>-CW50*Assumptions!$T65</f>
        <v>0</v>
      </c>
      <c r="CX51" s="54">
        <f>-CX50*Assumptions!$T65</f>
        <v>0</v>
      </c>
      <c r="CY51" s="54">
        <f>-CY50*Assumptions!$T65</f>
        <v>0</v>
      </c>
      <c r="CZ51" s="54">
        <f>-CZ50*Assumptions!$T65</f>
        <v>0</v>
      </c>
      <c r="DA51" s="54">
        <f>-DA50*Assumptions!$T65</f>
        <v>0</v>
      </c>
      <c r="DB51" s="54">
        <f>-DB50*Assumptions!$T65</f>
        <v>0</v>
      </c>
      <c r="DC51" s="54">
        <f>-DC50*Assumptions!$T65</f>
        <v>0</v>
      </c>
      <c r="DD51" s="54">
        <f>-DD50*Assumptions!$T65</f>
        <v>0</v>
      </c>
      <c r="DE51" s="54">
        <f>-DE50*Assumptions!$T65</f>
        <v>0</v>
      </c>
      <c r="DF51" s="54">
        <f>-DF50*Assumptions!$T65</f>
        <v>0</v>
      </c>
      <c r="DG51" s="54">
        <f>-DG50*Assumptions!$T65</f>
        <v>0</v>
      </c>
      <c r="DH51" s="54">
        <f>-DH50*Assumptions!$T65</f>
        <v>0</v>
      </c>
      <c r="DI51" s="54">
        <f>-DI50*Assumptions!$T65</f>
        <v>0</v>
      </c>
      <c r="DJ51" s="54">
        <f>-DJ50*Assumptions!$T65</f>
        <v>0</v>
      </c>
      <c r="DK51" s="54">
        <f>-DK50*Assumptions!$T65</f>
        <v>0</v>
      </c>
      <c r="DL51" s="54">
        <f>-DL50*Assumptions!$T65</f>
        <v>0</v>
      </c>
      <c r="DM51" s="54">
        <f>-DM50*Assumptions!$T65</f>
        <v>0</v>
      </c>
      <c r="DN51" s="54">
        <f>-DN50*Assumptions!$T65</f>
        <v>0</v>
      </c>
      <c r="DO51" s="54">
        <f>-DO50*Assumptions!$T65</f>
        <v>0</v>
      </c>
      <c r="DP51" s="54">
        <f>-DP50*Assumptions!$T65</f>
        <v>0</v>
      </c>
      <c r="DQ51" s="54">
        <f>-DQ50*Assumptions!$T65</f>
        <v>0</v>
      </c>
      <c r="DR51" s="54">
        <f>-DR50*Assumptions!$T65</f>
        <v>0</v>
      </c>
      <c r="DS51" s="54">
        <f>-DS50*Assumptions!$T65</f>
        <v>-364436.4063</v>
      </c>
      <c r="DT51" s="54">
        <f>-DT50*Assumptions!$T65</f>
        <v>0</v>
      </c>
      <c r="DU51" s="54">
        <f>-DU50*Assumptions!$T65</f>
        <v>0</v>
      </c>
      <c r="DV51" s="54">
        <f>-DV50*Assumptions!$T65</f>
        <v>0</v>
      </c>
      <c r="DW51" s="54">
        <f>-DW50*Assumptions!$T65</f>
        <v>0</v>
      </c>
      <c r="DX51" s="54">
        <f>-DX50*Assumptions!$T65</f>
        <v>0</v>
      </c>
      <c r="DY51" s="54">
        <f>-DY50*Assumptions!$T65</f>
        <v>0</v>
      </c>
      <c r="DZ51" s="54">
        <f>-DZ50*Assumptions!$T65</f>
        <v>0</v>
      </c>
      <c r="EA51" s="54">
        <f>-EA50*Assumptions!$T65</f>
        <v>0</v>
      </c>
      <c r="EB51" s="54">
        <f>-EB50*Assumptions!$T65</f>
        <v>0</v>
      </c>
      <c r="EC51" s="54">
        <f>-EC50*Assumptions!$T65</f>
        <v>0</v>
      </c>
      <c r="ED51" s="54">
        <f>-ED50*Assumptions!$T65</f>
        <v>0</v>
      </c>
      <c r="EE51" s="54">
        <f>-EE50*Assumptions!$T65</f>
        <v>0</v>
      </c>
    </row>
    <row r="52" ht="15.75" customHeight="1">
      <c r="A52" s="1"/>
      <c r="B52" s="26"/>
      <c r="C52" s="26" t="s">
        <v>200</v>
      </c>
      <c r="D52" s="211">
        <f t="shared" ref="D52:EE52" si="11">-D47*IF(D50=0,0,1)</f>
        <v>0</v>
      </c>
      <c r="E52" s="211">
        <f t="shared" si="11"/>
        <v>0</v>
      </c>
      <c r="F52" s="211">
        <f t="shared" si="11"/>
        <v>0</v>
      </c>
      <c r="G52" s="211">
        <f t="shared" si="11"/>
        <v>0</v>
      </c>
      <c r="H52" s="211">
        <f t="shared" si="11"/>
        <v>0</v>
      </c>
      <c r="I52" s="211">
        <f t="shared" si="11"/>
        <v>0</v>
      </c>
      <c r="J52" s="211">
        <f t="shared" si="11"/>
        <v>0</v>
      </c>
      <c r="K52" s="211">
        <f t="shared" si="11"/>
        <v>0</v>
      </c>
      <c r="L52" s="211">
        <f t="shared" si="11"/>
        <v>0</v>
      </c>
      <c r="M52" s="211">
        <f t="shared" si="11"/>
        <v>0</v>
      </c>
      <c r="N52" s="211">
        <f t="shared" si="11"/>
        <v>0</v>
      </c>
      <c r="O52" s="211">
        <f t="shared" si="11"/>
        <v>0</v>
      </c>
      <c r="P52" s="211">
        <f t="shared" si="11"/>
        <v>0</v>
      </c>
      <c r="Q52" s="211">
        <f t="shared" si="11"/>
        <v>0</v>
      </c>
      <c r="R52" s="211">
        <f t="shared" si="11"/>
        <v>0</v>
      </c>
      <c r="S52" s="211">
        <f t="shared" si="11"/>
        <v>0</v>
      </c>
      <c r="T52" s="211">
        <f t="shared" si="11"/>
        <v>0</v>
      </c>
      <c r="U52" s="211">
        <f t="shared" si="11"/>
        <v>0</v>
      </c>
      <c r="V52" s="211">
        <f t="shared" si="11"/>
        <v>0</v>
      </c>
      <c r="W52" s="211">
        <f t="shared" si="11"/>
        <v>0</v>
      </c>
      <c r="X52" s="211">
        <f t="shared" si="11"/>
        <v>0</v>
      </c>
      <c r="Y52" s="211">
        <f t="shared" si="11"/>
        <v>0</v>
      </c>
      <c r="Z52" s="211">
        <f t="shared" si="11"/>
        <v>0</v>
      </c>
      <c r="AA52" s="211">
        <f t="shared" si="11"/>
        <v>0</v>
      </c>
      <c r="AB52" s="211">
        <f t="shared" si="11"/>
        <v>0</v>
      </c>
      <c r="AC52" s="211">
        <f t="shared" si="11"/>
        <v>0</v>
      </c>
      <c r="AD52" s="211">
        <f t="shared" si="11"/>
        <v>0</v>
      </c>
      <c r="AE52" s="211">
        <f t="shared" si="11"/>
        <v>0</v>
      </c>
      <c r="AF52" s="211">
        <f t="shared" si="11"/>
        <v>0</v>
      </c>
      <c r="AG52" s="211">
        <f t="shared" si="11"/>
        <v>0</v>
      </c>
      <c r="AH52" s="211">
        <f t="shared" si="11"/>
        <v>0</v>
      </c>
      <c r="AI52" s="211">
        <f t="shared" si="11"/>
        <v>0</v>
      </c>
      <c r="AJ52" s="211">
        <f t="shared" si="11"/>
        <v>0</v>
      </c>
      <c r="AK52" s="211">
        <f t="shared" si="11"/>
        <v>0</v>
      </c>
      <c r="AL52" s="211">
        <f t="shared" si="11"/>
        <v>0</v>
      </c>
      <c r="AM52" s="211">
        <f t="shared" si="11"/>
        <v>0</v>
      </c>
      <c r="AN52" s="211">
        <f t="shared" si="11"/>
        <v>0</v>
      </c>
      <c r="AO52" s="211">
        <f t="shared" si="11"/>
        <v>0</v>
      </c>
      <c r="AP52" s="211">
        <f t="shared" si="11"/>
        <v>0</v>
      </c>
      <c r="AQ52" s="211">
        <f t="shared" si="11"/>
        <v>0</v>
      </c>
      <c r="AR52" s="211">
        <f t="shared" si="11"/>
        <v>0</v>
      </c>
      <c r="AS52" s="211">
        <f t="shared" si="11"/>
        <v>0</v>
      </c>
      <c r="AT52" s="211">
        <f t="shared" si="11"/>
        <v>0</v>
      </c>
      <c r="AU52" s="211">
        <f t="shared" si="11"/>
        <v>0</v>
      </c>
      <c r="AV52" s="211">
        <f t="shared" si="11"/>
        <v>0</v>
      </c>
      <c r="AW52" s="211">
        <f t="shared" si="11"/>
        <v>0</v>
      </c>
      <c r="AX52" s="211">
        <f t="shared" si="11"/>
        <v>0</v>
      </c>
      <c r="AY52" s="211">
        <f t="shared" si="11"/>
        <v>0</v>
      </c>
      <c r="AZ52" s="211">
        <f t="shared" si="11"/>
        <v>0</v>
      </c>
      <c r="BA52" s="211">
        <f t="shared" si="11"/>
        <v>0</v>
      </c>
      <c r="BB52" s="211">
        <f t="shared" si="11"/>
        <v>0</v>
      </c>
      <c r="BC52" s="211">
        <f t="shared" si="11"/>
        <v>0</v>
      </c>
      <c r="BD52" s="211">
        <f t="shared" si="11"/>
        <v>0</v>
      </c>
      <c r="BE52" s="211">
        <f t="shared" si="11"/>
        <v>0</v>
      </c>
      <c r="BF52" s="211">
        <f t="shared" si="11"/>
        <v>0</v>
      </c>
      <c r="BG52" s="211">
        <f t="shared" si="11"/>
        <v>0</v>
      </c>
      <c r="BH52" s="211">
        <f t="shared" si="11"/>
        <v>0</v>
      </c>
      <c r="BI52" s="211">
        <f t="shared" si="11"/>
        <v>0</v>
      </c>
      <c r="BJ52" s="211">
        <f t="shared" si="11"/>
        <v>0</v>
      </c>
      <c r="BK52" s="211">
        <f t="shared" si="11"/>
        <v>0</v>
      </c>
      <c r="BL52" s="211">
        <f t="shared" si="11"/>
        <v>0</v>
      </c>
      <c r="BM52" s="211">
        <f t="shared" si="11"/>
        <v>0</v>
      </c>
      <c r="BN52" s="211">
        <f t="shared" si="11"/>
        <v>0</v>
      </c>
      <c r="BO52" s="211">
        <f t="shared" si="11"/>
        <v>0</v>
      </c>
      <c r="BP52" s="211">
        <f t="shared" si="11"/>
        <v>0</v>
      </c>
      <c r="BQ52" s="211">
        <f t="shared" si="11"/>
        <v>0</v>
      </c>
      <c r="BR52" s="211">
        <f t="shared" si="11"/>
        <v>0</v>
      </c>
      <c r="BS52" s="211">
        <f t="shared" si="11"/>
        <v>0</v>
      </c>
      <c r="BT52" s="211">
        <f t="shared" si="11"/>
        <v>0</v>
      </c>
      <c r="BU52" s="211">
        <f t="shared" si="11"/>
        <v>0</v>
      </c>
      <c r="BV52" s="211">
        <f t="shared" si="11"/>
        <v>0</v>
      </c>
      <c r="BW52" s="211">
        <f t="shared" si="11"/>
        <v>0</v>
      </c>
      <c r="BX52" s="211">
        <f t="shared" si="11"/>
        <v>0</v>
      </c>
      <c r="BY52" s="211">
        <f t="shared" si="11"/>
        <v>0</v>
      </c>
      <c r="BZ52" s="211">
        <f t="shared" si="11"/>
        <v>0</v>
      </c>
      <c r="CA52" s="211">
        <f t="shared" si="11"/>
        <v>0</v>
      </c>
      <c r="CB52" s="211">
        <f t="shared" si="11"/>
        <v>0</v>
      </c>
      <c r="CC52" s="211">
        <f t="shared" si="11"/>
        <v>0</v>
      </c>
      <c r="CD52" s="211">
        <f t="shared" si="11"/>
        <v>0</v>
      </c>
      <c r="CE52" s="211">
        <f t="shared" si="11"/>
        <v>0</v>
      </c>
      <c r="CF52" s="211">
        <f t="shared" si="11"/>
        <v>0</v>
      </c>
      <c r="CG52" s="211">
        <f t="shared" si="11"/>
        <v>0</v>
      </c>
      <c r="CH52" s="211">
        <f t="shared" si="11"/>
        <v>0</v>
      </c>
      <c r="CI52" s="211">
        <f t="shared" si="11"/>
        <v>0</v>
      </c>
      <c r="CJ52" s="211">
        <f t="shared" si="11"/>
        <v>0</v>
      </c>
      <c r="CK52" s="211">
        <f t="shared" si="11"/>
        <v>0</v>
      </c>
      <c r="CL52" s="211">
        <f t="shared" si="11"/>
        <v>0</v>
      </c>
      <c r="CM52" s="211">
        <f t="shared" si="11"/>
        <v>0</v>
      </c>
      <c r="CN52" s="211">
        <f t="shared" si="11"/>
        <v>0</v>
      </c>
      <c r="CO52" s="211">
        <f t="shared" si="11"/>
        <v>0</v>
      </c>
      <c r="CP52" s="211">
        <f t="shared" si="11"/>
        <v>0</v>
      </c>
      <c r="CQ52" s="211">
        <f t="shared" si="11"/>
        <v>0</v>
      </c>
      <c r="CR52" s="211">
        <f t="shared" si="11"/>
        <v>0</v>
      </c>
      <c r="CS52" s="211">
        <f t="shared" si="11"/>
        <v>0</v>
      </c>
      <c r="CT52" s="211">
        <f t="shared" si="11"/>
        <v>0</v>
      </c>
      <c r="CU52" s="211">
        <f t="shared" si="11"/>
        <v>0</v>
      </c>
      <c r="CV52" s="211">
        <f t="shared" si="11"/>
        <v>0</v>
      </c>
      <c r="CW52" s="211">
        <f t="shared" si="11"/>
        <v>0</v>
      </c>
      <c r="CX52" s="211">
        <f t="shared" si="11"/>
        <v>0</v>
      </c>
      <c r="CY52" s="211">
        <f t="shared" si="11"/>
        <v>0</v>
      </c>
      <c r="CZ52" s="211">
        <f t="shared" si="11"/>
        <v>0</v>
      </c>
      <c r="DA52" s="211">
        <f t="shared" si="11"/>
        <v>0</v>
      </c>
      <c r="DB52" s="211">
        <f t="shared" si="11"/>
        <v>0</v>
      </c>
      <c r="DC52" s="211">
        <f t="shared" si="11"/>
        <v>0</v>
      </c>
      <c r="DD52" s="211">
        <f t="shared" si="11"/>
        <v>0</v>
      </c>
      <c r="DE52" s="211">
        <f t="shared" si="11"/>
        <v>0</v>
      </c>
      <c r="DF52" s="211">
        <f t="shared" si="11"/>
        <v>0</v>
      </c>
      <c r="DG52" s="211">
        <f t="shared" si="11"/>
        <v>0</v>
      </c>
      <c r="DH52" s="211">
        <f t="shared" si="11"/>
        <v>0</v>
      </c>
      <c r="DI52" s="211">
        <f t="shared" si="11"/>
        <v>0</v>
      </c>
      <c r="DJ52" s="211">
        <f t="shared" si="11"/>
        <v>0</v>
      </c>
      <c r="DK52" s="211">
        <f t="shared" si="11"/>
        <v>0</v>
      </c>
      <c r="DL52" s="211">
        <f t="shared" si="11"/>
        <v>0</v>
      </c>
      <c r="DM52" s="211">
        <f t="shared" si="11"/>
        <v>0</v>
      </c>
      <c r="DN52" s="211">
        <f t="shared" si="11"/>
        <v>0</v>
      </c>
      <c r="DO52" s="211">
        <f t="shared" si="11"/>
        <v>0</v>
      </c>
      <c r="DP52" s="211">
        <f t="shared" si="11"/>
        <v>0</v>
      </c>
      <c r="DQ52" s="211">
        <f t="shared" si="11"/>
        <v>0</v>
      </c>
      <c r="DR52" s="211">
        <f t="shared" si="11"/>
        <v>0</v>
      </c>
      <c r="DS52" s="211">
        <f t="shared" si="11"/>
        <v>-7003020.182</v>
      </c>
      <c r="DT52" s="211">
        <f t="shared" si="11"/>
        <v>0</v>
      </c>
      <c r="DU52" s="211">
        <f t="shared" si="11"/>
        <v>0</v>
      </c>
      <c r="DV52" s="211">
        <f t="shared" si="11"/>
        <v>0</v>
      </c>
      <c r="DW52" s="211">
        <f t="shared" si="11"/>
        <v>0</v>
      </c>
      <c r="DX52" s="211">
        <f t="shared" si="11"/>
        <v>0</v>
      </c>
      <c r="DY52" s="211">
        <f t="shared" si="11"/>
        <v>0</v>
      </c>
      <c r="DZ52" s="211">
        <f t="shared" si="11"/>
        <v>0</v>
      </c>
      <c r="EA52" s="211">
        <f t="shared" si="11"/>
        <v>0</v>
      </c>
      <c r="EB52" s="211">
        <f t="shared" si="11"/>
        <v>0</v>
      </c>
      <c r="EC52" s="211">
        <f t="shared" si="11"/>
        <v>0</v>
      </c>
      <c r="ED52" s="211">
        <f t="shared" si="11"/>
        <v>0</v>
      </c>
      <c r="EE52" s="211">
        <f t="shared" si="11"/>
        <v>0</v>
      </c>
    </row>
    <row r="53" ht="15.75" customHeight="1">
      <c r="A53" s="1"/>
      <c r="B53" s="47"/>
      <c r="C53" s="47" t="s">
        <v>151</v>
      </c>
      <c r="D53" s="213">
        <f t="shared" ref="D53:EE53" si="12">SUM(D50:D52)</f>
        <v>0</v>
      </c>
      <c r="E53" s="213">
        <f t="shared" si="12"/>
        <v>0</v>
      </c>
      <c r="F53" s="213">
        <f t="shared" si="12"/>
        <v>0</v>
      </c>
      <c r="G53" s="213">
        <f t="shared" si="12"/>
        <v>0</v>
      </c>
      <c r="H53" s="213">
        <f t="shared" si="12"/>
        <v>0</v>
      </c>
      <c r="I53" s="213">
        <f t="shared" si="12"/>
        <v>0</v>
      </c>
      <c r="J53" s="213">
        <f t="shared" si="12"/>
        <v>0</v>
      </c>
      <c r="K53" s="213">
        <f t="shared" si="12"/>
        <v>0</v>
      </c>
      <c r="L53" s="213">
        <f t="shared" si="12"/>
        <v>0</v>
      </c>
      <c r="M53" s="213">
        <f t="shared" si="12"/>
        <v>0</v>
      </c>
      <c r="N53" s="213">
        <f t="shared" si="12"/>
        <v>0</v>
      </c>
      <c r="O53" s="213">
        <f t="shared" si="12"/>
        <v>0</v>
      </c>
      <c r="P53" s="213">
        <f t="shared" si="12"/>
        <v>0</v>
      </c>
      <c r="Q53" s="213">
        <f t="shared" si="12"/>
        <v>0</v>
      </c>
      <c r="R53" s="213">
        <f t="shared" si="12"/>
        <v>0</v>
      </c>
      <c r="S53" s="213">
        <f t="shared" si="12"/>
        <v>0</v>
      </c>
      <c r="T53" s="213">
        <f t="shared" si="12"/>
        <v>0</v>
      </c>
      <c r="U53" s="213">
        <f t="shared" si="12"/>
        <v>0</v>
      </c>
      <c r="V53" s="213">
        <f t="shared" si="12"/>
        <v>0</v>
      </c>
      <c r="W53" s="213">
        <f t="shared" si="12"/>
        <v>0</v>
      </c>
      <c r="X53" s="213">
        <f t="shared" si="12"/>
        <v>0</v>
      </c>
      <c r="Y53" s="213">
        <f t="shared" si="12"/>
        <v>0</v>
      </c>
      <c r="Z53" s="213">
        <f t="shared" si="12"/>
        <v>0</v>
      </c>
      <c r="AA53" s="213">
        <f t="shared" si="12"/>
        <v>0</v>
      </c>
      <c r="AB53" s="213">
        <f t="shared" si="12"/>
        <v>0</v>
      </c>
      <c r="AC53" s="213">
        <f t="shared" si="12"/>
        <v>0</v>
      </c>
      <c r="AD53" s="213">
        <f t="shared" si="12"/>
        <v>0</v>
      </c>
      <c r="AE53" s="213">
        <f t="shared" si="12"/>
        <v>0</v>
      </c>
      <c r="AF53" s="213">
        <f t="shared" si="12"/>
        <v>0</v>
      </c>
      <c r="AG53" s="213">
        <f t="shared" si="12"/>
        <v>0</v>
      </c>
      <c r="AH53" s="213">
        <f t="shared" si="12"/>
        <v>0</v>
      </c>
      <c r="AI53" s="213">
        <f t="shared" si="12"/>
        <v>0</v>
      </c>
      <c r="AJ53" s="213">
        <f t="shared" si="12"/>
        <v>0</v>
      </c>
      <c r="AK53" s="213">
        <f t="shared" si="12"/>
        <v>0</v>
      </c>
      <c r="AL53" s="213">
        <f t="shared" si="12"/>
        <v>0</v>
      </c>
      <c r="AM53" s="213">
        <f t="shared" si="12"/>
        <v>0</v>
      </c>
      <c r="AN53" s="213">
        <f t="shared" si="12"/>
        <v>0</v>
      </c>
      <c r="AO53" s="213">
        <f t="shared" si="12"/>
        <v>0</v>
      </c>
      <c r="AP53" s="213">
        <f t="shared" si="12"/>
        <v>0</v>
      </c>
      <c r="AQ53" s="213">
        <f t="shared" si="12"/>
        <v>0</v>
      </c>
      <c r="AR53" s="213">
        <f t="shared" si="12"/>
        <v>0</v>
      </c>
      <c r="AS53" s="213">
        <f t="shared" si="12"/>
        <v>0</v>
      </c>
      <c r="AT53" s="213">
        <f t="shared" si="12"/>
        <v>0</v>
      </c>
      <c r="AU53" s="213">
        <f t="shared" si="12"/>
        <v>0</v>
      </c>
      <c r="AV53" s="213">
        <f t="shared" si="12"/>
        <v>0</v>
      </c>
      <c r="AW53" s="213">
        <f t="shared" si="12"/>
        <v>0</v>
      </c>
      <c r="AX53" s="213">
        <f t="shared" si="12"/>
        <v>0</v>
      </c>
      <c r="AY53" s="213">
        <f t="shared" si="12"/>
        <v>0</v>
      </c>
      <c r="AZ53" s="213">
        <f t="shared" si="12"/>
        <v>0</v>
      </c>
      <c r="BA53" s="213">
        <f t="shared" si="12"/>
        <v>0</v>
      </c>
      <c r="BB53" s="213">
        <f t="shared" si="12"/>
        <v>0</v>
      </c>
      <c r="BC53" s="213">
        <f t="shared" si="12"/>
        <v>0</v>
      </c>
      <c r="BD53" s="213">
        <f t="shared" si="12"/>
        <v>0</v>
      </c>
      <c r="BE53" s="213">
        <f t="shared" si="12"/>
        <v>0</v>
      </c>
      <c r="BF53" s="213">
        <f t="shared" si="12"/>
        <v>0</v>
      </c>
      <c r="BG53" s="213">
        <f t="shared" si="12"/>
        <v>0</v>
      </c>
      <c r="BH53" s="213">
        <f t="shared" si="12"/>
        <v>0</v>
      </c>
      <c r="BI53" s="213">
        <f t="shared" si="12"/>
        <v>0</v>
      </c>
      <c r="BJ53" s="213">
        <f t="shared" si="12"/>
        <v>0</v>
      </c>
      <c r="BK53" s="213">
        <f t="shared" si="12"/>
        <v>0</v>
      </c>
      <c r="BL53" s="213">
        <f t="shared" si="12"/>
        <v>0</v>
      </c>
      <c r="BM53" s="213">
        <f t="shared" si="12"/>
        <v>0</v>
      </c>
      <c r="BN53" s="213">
        <f t="shared" si="12"/>
        <v>0</v>
      </c>
      <c r="BO53" s="213">
        <f t="shared" si="12"/>
        <v>0</v>
      </c>
      <c r="BP53" s="213">
        <f t="shared" si="12"/>
        <v>0</v>
      </c>
      <c r="BQ53" s="213">
        <f t="shared" si="12"/>
        <v>0</v>
      </c>
      <c r="BR53" s="213">
        <f t="shared" si="12"/>
        <v>0</v>
      </c>
      <c r="BS53" s="213">
        <f t="shared" si="12"/>
        <v>0</v>
      </c>
      <c r="BT53" s="213">
        <f t="shared" si="12"/>
        <v>0</v>
      </c>
      <c r="BU53" s="213">
        <f t="shared" si="12"/>
        <v>0</v>
      </c>
      <c r="BV53" s="213">
        <f t="shared" si="12"/>
        <v>0</v>
      </c>
      <c r="BW53" s="213">
        <f t="shared" si="12"/>
        <v>0</v>
      </c>
      <c r="BX53" s="213">
        <f t="shared" si="12"/>
        <v>0</v>
      </c>
      <c r="BY53" s="213">
        <f t="shared" si="12"/>
        <v>0</v>
      </c>
      <c r="BZ53" s="213">
        <f t="shared" si="12"/>
        <v>0</v>
      </c>
      <c r="CA53" s="213">
        <f t="shared" si="12"/>
        <v>0</v>
      </c>
      <c r="CB53" s="213">
        <f t="shared" si="12"/>
        <v>0</v>
      </c>
      <c r="CC53" s="213">
        <f t="shared" si="12"/>
        <v>0</v>
      </c>
      <c r="CD53" s="213">
        <f t="shared" si="12"/>
        <v>0</v>
      </c>
      <c r="CE53" s="213">
        <f t="shared" si="12"/>
        <v>0</v>
      </c>
      <c r="CF53" s="213">
        <f t="shared" si="12"/>
        <v>0</v>
      </c>
      <c r="CG53" s="213">
        <f t="shared" si="12"/>
        <v>0</v>
      </c>
      <c r="CH53" s="213">
        <f t="shared" si="12"/>
        <v>0</v>
      </c>
      <c r="CI53" s="213">
        <f t="shared" si="12"/>
        <v>0</v>
      </c>
      <c r="CJ53" s="213">
        <f t="shared" si="12"/>
        <v>0</v>
      </c>
      <c r="CK53" s="213">
        <f t="shared" si="12"/>
        <v>0</v>
      </c>
      <c r="CL53" s="213">
        <f t="shared" si="12"/>
        <v>0</v>
      </c>
      <c r="CM53" s="213">
        <f t="shared" si="12"/>
        <v>0</v>
      </c>
      <c r="CN53" s="213">
        <f t="shared" si="12"/>
        <v>0</v>
      </c>
      <c r="CO53" s="213">
        <f t="shared" si="12"/>
        <v>0</v>
      </c>
      <c r="CP53" s="213">
        <f t="shared" si="12"/>
        <v>0</v>
      </c>
      <c r="CQ53" s="213">
        <f t="shared" si="12"/>
        <v>0</v>
      </c>
      <c r="CR53" s="213">
        <f t="shared" si="12"/>
        <v>0</v>
      </c>
      <c r="CS53" s="213">
        <f t="shared" si="12"/>
        <v>0</v>
      </c>
      <c r="CT53" s="213">
        <f t="shared" si="12"/>
        <v>0</v>
      </c>
      <c r="CU53" s="213">
        <f t="shared" si="12"/>
        <v>0</v>
      </c>
      <c r="CV53" s="213">
        <f t="shared" si="12"/>
        <v>0</v>
      </c>
      <c r="CW53" s="213">
        <f t="shared" si="12"/>
        <v>0</v>
      </c>
      <c r="CX53" s="213">
        <f t="shared" si="12"/>
        <v>0</v>
      </c>
      <c r="CY53" s="213">
        <f t="shared" si="12"/>
        <v>0</v>
      </c>
      <c r="CZ53" s="213">
        <f t="shared" si="12"/>
        <v>0</v>
      </c>
      <c r="DA53" s="213">
        <f t="shared" si="12"/>
        <v>0</v>
      </c>
      <c r="DB53" s="213">
        <f t="shared" si="12"/>
        <v>0</v>
      </c>
      <c r="DC53" s="213">
        <f t="shared" si="12"/>
        <v>0</v>
      </c>
      <c r="DD53" s="213">
        <f t="shared" si="12"/>
        <v>0</v>
      </c>
      <c r="DE53" s="213">
        <f t="shared" si="12"/>
        <v>0</v>
      </c>
      <c r="DF53" s="213">
        <f t="shared" si="12"/>
        <v>0</v>
      </c>
      <c r="DG53" s="213">
        <f t="shared" si="12"/>
        <v>0</v>
      </c>
      <c r="DH53" s="213">
        <f t="shared" si="12"/>
        <v>0</v>
      </c>
      <c r="DI53" s="213">
        <f t="shared" si="12"/>
        <v>0</v>
      </c>
      <c r="DJ53" s="213">
        <f t="shared" si="12"/>
        <v>0</v>
      </c>
      <c r="DK53" s="213">
        <f t="shared" si="12"/>
        <v>0</v>
      </c>
      <c r="DL53" s="213">
        <f t="shared" si="12"/>
        <v>0</v>
      </c>
      <c r="DM53" s="213">
        <f t="shared" si="12"/>
        <v>0</v>
      </c>
      <c r="DN53" s="213">
        <f t="shared" si="12"/>
        <v>0</v>
      </c>
      <c r="DO53" s="213">
        <f t="shared" si="12"/>
        <v>0</v>
      </c>
      <c r="DP53" s="213">
        <f t="shared" si="12"/>
        <v>0</v>
      </c>
      <c r="DQ53" s="213">
        <f t="shared" si="12"/>
        <v>0</v>
      </c>
      <c r="DR53" s="213">
        <f t="shared" si="12"/>
        <v>0</v>
      </c>
      <c r="DS53" s="213">
        <f t="shared" si="12"/>
        <v>10854363.73</v>
      </c>
      <c r="DT53" s="213">
        <f t="shared" si="12"/>
        <v>0</v>
      </c>
      <c r="DU53" s="213">
        <f t="shared" si="12"/>
        <v>0</v>
      </c>
      <c r="DV53" s="213">
        <f t="shared" si="12"/>
        <v>0</v>
      </c>
      <c r="DW53" s="213">
        <f t="shared" si="12"/>
        <v>0</v>
      </c>
      <c r="DX53" s="213">
        <f t="shared" si="12"/>
        <v>0</v>
      </c>
      <c r="DY53" s="213">
        <f t="shared" si="12"/>
        <v>0</v>
      </c>
      <c r="DZ53" s="213">
        <f t="shared" si="12"/>
        <v>0</v>
      </c>
      <c r="EA53" s="213">
        <f t="shared" si="12"/>
        <v>0</v>
      </c>
      <c r="EB53" s="213">
        <f t="shared" si="12"/>
        <v>0</v>
      </c>
      <c r="EC53" s="213">
        <f t="shared" si="12"/>
        <v>0</v>
      </c>
      <c r="ED53" s="213">
        <f t="shared" si="12"/>
        <v>0</v>
      </c>
      <c r="EE53" s="213">
        <f t="shared" si="12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152</v>
      </c>
      <c r="D55" s="54">
        <f>(D38-D46)*IF(D1&gt;Assumptions!$T$68*12,0,1)</f>
        <v>59835.1826</v>
      </c>
      <c r="E55" s="54">
        <f>(E38-E46)*IF(E1&gt;Assumptions!$T$68*12,0,1)</f>
        <v>59835.1826</v>
      </c>
      <c r="F55" s="54">
        <f>(F38-F46)*IF(F1&gt;Assumptions!$T$68*12,0,1)</f>
        <v>59835.1826</v>
      </c>
      <c r="G55" s="54">
        <f>(G38-G46)*IF(G1&gt;Assumptions!$T$68*12,0,1)</f>
        <v>59835.1826</v>
      </c>
      <c r="H55" s="54">
        <f>(H38-H46)*IF(H1&gt;Assumptions!$T$68*12,0,1)</f>
        <v>59835.1826</v>
      </c>
      <c r="I55" s="54">
        <f>(I38-I46)*IF(I1&gt;Assumptions!$T$68*12,0,1)</f>
        <v>59835.1826</v>
      </c>
      <c r="J55" s="54">
        <f>(J38-J46)*IF(J1&gt;Assumptions!$T$68*12,0,1)</f>
        <v>59835.1826</v>
      </c>
      <c r="K55" s="54">
        <f>(K38-K46)*IF(K1&gt;Assumptions!$T$68*12,0,1)</f>
        <v>59835.1826</v>
      </c>
      <c r="L55" s="54">
        <f>(L38-L46)*IF(L1&gt;Assumptions!$T$68*12,0,1)</f>
        <v>59835.1826</v>
      </c>
      <c r="M55" s="54">
        <f>(M38-M46)*IF(M1&gt;Assumptions!$T$68*12,0,1)</f>
        <v>59835.1826</v>
      </c>
      <c r="N55" s="54">
        <f>(N38-N46)*IF(N1&gt;Assumptions!$T$68*12,0,1)</f>
        <v>59835.1826</v>
      </c>
      <c r="O55" s="54">
        <f>(O38-O46)*IF(O1&gt;Assumptions!$T$68*12,0,1)</f>
        <v>59835.1826</v>
      </c>
      <c r="P55" s="54">
        <f>(P38-P46)*IF(P1&gt;Assumptions!$T$68*12,0,1)</f>
        <v>69827.53992</v>
      </c>
      <c r="Q55" s="54">
        <f>(Q38-Q46)*IF(Q1&gt;Assumptions!$T$68*12,0,1)</f>
        <v>69827.53992</v>
      </c>
      <c r="R55" s="54">
        <f>(R38-R46)*IF(R1&gt;Assumptions!$T$68*12,0,1)</f>
        <v>69827.53992</v>
      </c>
      <c r="S55" s="54">
        <f>(S38-S46)*IF(S1&gt;Assumptions!$T$68*12,0,1)</f>
        <v>69827.53992</v>
      </c>
      <c r="T55" s="54">
        <f>(T38-T46)*IF(T1&gt;Assumptions!$T$68*12,0,1)</f>
        <v>69827.53992</v>
      </c>
      <c r="U55" s="54">
        <f>(U38-U46)*IF(U1&gt;Assumptions!$T$68*12,0,1)</f>
        <v>69827.53992</v>
      </c>
      <c r="V55" s="54">
        <f>(V38-V46)*IF(V1&gt;Assumptions!$T$68*12,0,1)</f>
        <v>69827.53992</v>
      </c>
      <c r="W55" s="54">
        <f>(W38-W46)*IF(W1&gt;Assumptions!$T$68*12,0,1)</f>
        <v>69827.53992</v>
      </c>
      <c r="X55" s="54">
        <f>(X38-X46)*IF(X1&gt;Assumptions!$T$68*12,0,1)</f>
        <v>69827.53992</v>
      </c>
      <c r="Y55" s="54">
        <f>(Y38-Y46)*IF(Y1&gt;Assumptions!$T$68*12,0,1)</f>
        <v>69827.53992</v>
      </c>
      <c r="Z55" s="54">
        <f>(Z38-Z46)*IF(Z1&gt;Assumptions!$T$68*12,0,1)</f>
        <v>69827.53992</v>
      </c>
      <c r="AA55" s="54">
        <f>(AA38-AA46)*IF(AA1&gt;Assumptions!$T$68*12,0,1)</f>
        <v>69827.53992</v>
      </c>
      <c r="AB55" s="54">
        <f>(AB38-AB46)*IF(AB1&gt;Assumptions!$T$68*12,0,1)</f>
        <v>71922.36612</v>
      </c>
      <c r="AC55" s="54">
        <f>(AC38-AC46)*IF(AC1&gt;Assumptions!$T$68*12,0,1)</f>
        <v>71922.36612</v>
      </c>
      <c r="AD55" s="54">
        <f>(AD38-AD46)*IF(AD1&gt;Assumptions!$T$68*12,0,1)</f>
        <v>71922.36612</v>
      </c>
      <c r="AE55" s="54">
        <f>(AE38-AE46)*IF(AE1&gt;Assumptions!$T$68*12,0,1)</f>
        <v>71922.36612</v>
      </c>
      <c r="AF55" s="54">
        <f>(AF38-AF46)*IF(AF1&gt;Assumptions!$T$68*12,0,1)</f>
        <v>71922.36612</v>
      </c>
      <c r="AG55" s="54">
        <f>(AG38-AG46)*IF(AG1&gt;Assumptions!$T$68*12,0,1)</f>
        <v>71922.36612</v>
      </c>
      <c r="AH55" s="54">
        <f>(AH38-AH46)*IF(AH1&gt;Assumptions!$T$68*12,0,1)</f>
        <v>71922.36612</v>
      </c>
      <c r="AI55" s="54">
        <f>(AI38-AI46)*IF(AI1&gt;Assumptions!$T$68*12,0,1)</f>
        <v>71922.36612</v>
      </c>
      <c r="AJ55" s="54">
        <f>(AJ38-AJ46)*IF(AJ1&gt;Assumptions!$T$68*12,0,1)</f>
        <v>71922.36612</v>
      </c>
      <c r="AK55" s="54">
        <f>(AK38-AK46)*IF(AK1&gt;Assumptions!$T$68*12,0,1)</f>
        <v>71922.36612</v>
      </c>
      <c r="AL55" s="54">
        <f>(AL38-AL46)*IF(AL1&gt;Assumptions!$T$68*12,0,1)</f>
        <v>71922.36612</v>
      </c>
      <c r="AM55" s="54">
        <f>(AM38-AM46)*IF(AM1&gt;Assumptions!$T$68*12,0,1)</f>
        <v>71922.36612</v>
      </c>
      <c r="AN55" s="54">
        <f>(AN38-AN46)*IF(AN1&gt;Assumptions!$T$68*12,0,1)</f>
        <v>28570.7686</v>
      </c>
      <c r="AO55" s="54">
        <f>(AO38-AO46)*IF(AO1&gt;Assumptions!$T$68*12,0,1)</f>
        <v>28570.7686</v>
      </c>
      <c r="AP55" s="54">
        <f>(AP38-AP46)*IF(AP1&gt;Assumptions!$T$68*12,0,1)</f>
        <v>28570.7686</v>
      </c>
      <c r="AQ55" s="54">
        <f>(AQ38-AQ46)*IF(AQ1&gt;Assumptions!$T$68*12,0,1)</f>
        <v>28570.7686</v>
      </c>
      <c r="AR55" s="54">
        <f>(AR38-AR46)*IF(AR1&gt;Assumptions!$T$68*12,0,1)</f>
        <v>28570.7686</v>
      </c>
      <c r="AS55" s="54">
        <f>(AS38-AS46)*IF(AS1&gt;Assumptions!$T$68*12,0,1)</f>
        <v>28570.7686</v>
      </c>
      <c r="AT55" s="54">
        <f>(AT38-AT46)*IF(AT1&gt;Assumptions!$T$68*12,0,1)</f>
        <v>28570.7686</v>
      </c>
      <c r="AU55" s="54">
        <f>(AU38-AU46)*IF(AU1&gt;Assumptions!$T$68*12,0,1)</f>
        <v>28570.7686</v>
      </c>
      <c r="AV55" s="54">
        <f>(AV38-AV46)*IF(AV1&gt;Assumptions!$T$68*12,0,1)</f>
        <v>28570.7686</v>
      </c>
      <c r="AW55" s="54">
        <f>(AW38-AW46)*IF(AW1&gt;Assumptions!$T$68*12,0,1)</f>
        <v>28570.7686</v>
      </c>
      <c r="AX55" s="54">
        <f>(AX38-AX46)*IF(AX1&gt;Assumptions!$T$68*12,0,1)</f>
        <v>28570.7686</v>
      </c>
      <c r="AY55" s="54">
        <f>(AY38-AY46)*IF(AY1&gt;Assumptions!$T$68*12,0,1)</f>
        <v>28570.7686</v>
      </c>
      <c r="AZ55" s="54">
        <f>(AZ38-AZ46)*IF(AZ1&gt;Assumptions!$T$68*12,0,1)</f>
        <v>30793.16972</v>
      </c>
      <c r="BA55" s="54">
        <f>(BA38-BA46)*IF(BA1&gt;Assumptions!$T$68*12,0,1)</f>
        <v>30793.16972</v>
      </c>
      <c r="BB55" s="54">
        <f>(BB38-BB46)*IF(BB1&gt;Assumptions!$T$68*12,0,1)</f>
        <v>30793.16972</v>
      </c>
      <c r="BC55" s="54">
        <f>(BC38-BC46)*IF(BC1&gt;Assumptions!$T$68*12,0,1)</f>
        <v>30793.16972</v>
      </c>
      <c r="BD55" s="54">
        <f>(BD38-BD46)*IF(BD1&gt;Assumptions!$T$68*12,0,1)</f>
        <v>30793.16972</v>
      </c>
      <c r="BE55" s="54">
        <f>(BE38-BE46)*IF(BE1&gt;Assumptions!$T$68*12,0,1)</f>
        <v>30793.16972</v>
      </c>
      <c r="BF55" s="54">
        <f>(BF38-BF46)*IF(BF1&gt;Assumptions!$T$68*12,0,1)</f>
        <v>30793.16972</v>
      </c>
      <c r="BG55" s="54">
        <f>(BG38-BG46)*IF(BG1&gt;Assumptions!$T$68*12,0,1)</f>
        <v>30793.16972</v>
      </c>
      <c r="BH55" s="54">
        <f>(BH38-BH46)*IF(BH1&gt;Assumptions!$T$68*12,0,1)</f>
        <v>30793.16972</v>
      </c>
      <c r="BI55" s="54">
        <f>(BI38-BI46)*IF(BI1&gt;Assumptions!$T$68*12,0,1)</f>
        <v>30793.16972</v>
      </c>
      <c r="BJ55" s="54">
        <f>(BJ38-BJ46)*IF(BJ1&gt;Assumptions!$T$68*12,0,1)</f>
        <v>30793.16972</v>
      </c>
      <c r="BK55" s="54">
        <f>(BK38-BK46)*IF(BK1&gt;Assumptions!$T$68*12,0,1)</f>
        <v>30793.16972</v>
      </c>
      <c r="BL55" s="54">
        <f>(BL38-BL46)*IF(BL1&gt;Assumptions!$T$68*12,0,1)</f>
        <v>33082.24286</v>
      </c>
      <c r="BM55" s="54">
        <f>(BM38-BM46)*IF(BM1&gt;Assumptions!$T$68*12,0,1)</f>
        <v>33082.24286</v>
      </c>
      <c r="BN55" s="54">
        <f>(BN38-BN46)*IF(BN1&gt;Assumptions!$T$68*12,0,1)</f>
        <v>33082.24286</v>
      </c>
      <c r="BO55" s="54">
        <f>(BO38-BO46)*IF(BO1&gt;Assumptions!$T$68*12,0,1)</f>
        <v>33082.24286</v>
      </c>
      <c r="BP55" s="54">
        <f>(BP38-BP46)*IF(BP1&gt;Assumptions!$T$68*12,0,1)</f>
        <v>33082.24286</v>
      </c>
      <c r="BQ55" s="54">
        <f>(BQ38-BQ46)*IF(BQ1&gt;Assumptions!$T$68*12,0,1)</f>
        <v>33082.24286</v>
      </c>
      <c r="BR55" s="54">
        <f>(BR38-BR46)*IF(BR1&gt;Assumptions!$T$68*12,0,1)</f>
        <v>33082.24286</v>
      </c>
      <c r="BS55" s="54">
        <f>(BS38-BS46)*IF(BS1&gt;Assumptions!$T$68*12,0,1)</f>
        <v>33082.24286</v>
      </c>
      <c r="BT55" s="54">
        <f>(BT38-BT46)*IF(BT1&gt;Assumptions!$T$68*12,0,1)</f>
        <v>33082.24286</v>
      </c>
      <c r="BU55" s="54">
        <f>(BU38-BU46)*IF(BU1&gt;Assumptions!$T$68*12,0,1)</f>
        <v>33082.24286</v>
      </c>
      <c r="BV55" s="54">
        <f>(BV38-BV46)*IF(BV1&gt;Assumptions!$T$68*12,0,1)</f>
        <v>33082.24286</v>
      </c>
      <c r="BW55" s="54">
        <f>(BW38-BW46)*IF(BW1&gt;Assumptions!$T$68*12,0,1)</f>
        <v>33082.24286</v>
      </c>
      <c r="BX55" s="54">
        <f>(BX38-BX46)*IF(BX1&gt;Assumptions!$T$68*12,0,1)</f>
        <v>35439.9882</v>
      </c>
      <c r="BY55" s="54">
        <f>(BY38-BY46)*IF(BY1&gt;Assumptions!$T$68*12,0,1)</f>
        <v>35439.9882</v>
      </c>
      <c r="BZ55" s="54">
        <f>(BZ38-BZ46)*IF(BZ1&gt;Assumptions!$T$68*12,0,1)</f>
        <v>35439.9882</v>
      </c>
      <c r="CA55" s="54">
        <f>(CA38-CA46)*IF(CA1&gt;Assumptions!$T$68*12,0,1)</f>
        <v>35439.9882</v>
      </c>
      <c r="CB55" s="54">
        <f>(CB38-CB46)*IF(CB1&gt;Assumptions!$T$68*12,0,1)</f>
        <v>35439.9882</v>
      </c>
      <c r="CC55" s="54">
        <f>(CC38-CC46)*IF(CC1&gt;Assumptions!$T$68*12,0,1)</f>
        <v>35439.9882</v>
      </c>
      <c r="CD55" s="54">
        <f>(CD38-CD46)*IF(CD1&gt;Assumptions!$T$68*12,0,1)</f>
        <v>35439.9882</v>
      </c>
      <c r="CE55" s="54">
        <f>(CE38-CE46)*IF(CE1&gt;Assumptions!$T$68*12,0,1)</f>
        <v>35439.9882</v>
      </c>
      <c r="CF55" s="54">
        <f>(CF38-CF46)*IF(CF1&gt;Assumptions!$T$68*12,0,1)</f>
        <v>35439.9882</v>
      </c>
      <c r="CG55" s="54">
        <f>(CG38-CG46)*IF(CG1&gt;Assumptions!$T$68*12,0,1)</f>
        <v>35439.9882</v>
      </c>
      <c r="CH55" s="54">
        <f>(CH38-CH46)*IF(CH1&gt;Assumptions!$T$68*12,0,1)</f>
        <v>35439.9882</v>
      </c>
      <c r="CI55" s="54">
        <f>(CI38-CI46)*IF(CI1&gt;Assumptions!$T$68*12,0,1)</f>
        <v>35439.9882</v>
      </c>
      <c r="CJ55" s="54">
        <f>(CJ38-CJ46)*IF(CJ1&gt;Assumptions!$T$68*12,0,1)</f>
        <v>37868.4659</v>
      </c>
      <c r="CK55" s="54">
        <f>(CK38-CK46)*IF(CK1&gt;Assumptions!$T$68*12,0,1)</f>
        <v>37868.4659</v>
      </c>
      <c r="CL55" s="54">
        <f>(CL38-CL46)*IF(CL1&gt;Assumptions!$T$68*12,0,1)</f>
        <v>37868.4659</v>
      </c>
      <c r="CM55" s="54">
        <f>(CM38-CM46)*IF(CM1&gt;Assumptions!$T$68*12,0,1)</f>
        <v>37868.4659</v>
      </c>
      <c r="CN55" s="54">
        <f>(CN38-CN46)*IF(CN1&gt;Assumptions!$T$68*12,0,1)</f>
        <v>37868.4659</v>
      </c>
      <c r="CO55" s="54">
        <f>(CO38-CO46)*IF(CO1&gt;Assumptions!$T$68*12,0,1)</f>
        <v>37868.4659</v>
      </c>
      <c r="CP55" s="54">
        <f>(CP38-CP46)*IF(CP1&gt;Assumptions!$T$68*12,0,1)</f>
        <v>37868.4659</v>
      </c>
      <c r="CQ55" s="54">
        <f>(CQ38-CQ46)*IF(CQ1&gt;Assumptions!$T$68*12,0,1)</f>
        <v>37868.4659</v>
      </c>
      <c r="CR55" s="54">
        <f>(CR38-CR46)*IF(CR1&gt;Assumptions!$T$68*12,0,1)</f>
        <v>37868.4659</v>
      </c>
      <c r="CS55" s="54">
        <f>(CS38-CS46)*IF(CS1&gt;Assumptions!$T$68*12,0,1)</f>
        <v>37868.4659</v>
      </c>
      <c r="CT55" s="54">
        <f>(CT38-CT46)*IF(CT1&gt;Assumptions!$T$68*12,0,1)</f>
        <v>37868.4659</v>
      </c>
      <c r="CU55" s="54">
        <f>(CU38-CU46)*IF(CU1&gt;Assumptions!$T$68*12,0,1)</f>
        <v>37868.4659</v>
      </c>
      <c r="CV55" s="54">
        <f>(CV38-CV46)*IF(CV1&gt;Assumptions!$T$68*12,0,1)</f>
        <v>40369.79794</v>
      </c>
      <c r="CW55" s="54">
        <f>(CW38-CW46)*IF(CW1&gt;Assumptions!$T$68*12,0,1)</f>
        <v>40369.79794</v>
      </c>
      <c r="CX55" s="54">
        <f>(CX38-CX46)*IF(CX1&gt;Assumptions!$T$68*12,0,1)</f>
        <v>40369.79794</v>
      </c>
      <c r="CY55" s="54">
        <f>(CY38-CY46)*IF(CY1&gt;Assumptions!$T$68*12,0,1)</f>
        <v>40369.79794</v>
      </c>
      <c r="CZ55" s="54">
        <f>(CZ38-CZ46)*IF(CZ1&gt;Assumptions!$T$68*12,0,1)</f>
        <v>40369.79794</v>
      </c>
      <c r="DA55" s="54">
        <f>(DA38-DA46)*IF(DA1&gt;Assumptions!$T$68*12,0,1)</f>
        <v>40369.79794</v>
      </c>
      <c r="DB55" s="54">
        <f>(DB38-DB46)*IF(DB1&gt;Assumptions!$T$68*12,0,1)</f>
        <v>40369.79794</v>
      </c>
      <c r="DC55" s="54">
        <f>(DC38-DC46)*IF(DC1&gt;Assumptions!$T$68*12,0,1)</f>
        <v>40369.79794</v>
      </c>
      <c r="DD55" s="54">
        <f>(DD38-DD46)*IF(DD1&gt;Assumptions!$T$68*12,0,1)</f>
        <v>40369.79794</v>
      </c>
      <c r="DE55" s="54">
        <f>(DE38-DE46)*IF(DE1&gt;Assumptions!$T$68*12,0,1)</f>
        <v>40369.79794</v>
      </c>
      <c r="DF55" s="54">
        <f>(DF38-DF46)*IF(DF1&gt;Assumptions!$T$68*12,0,1)</f>
        <v>40369.79794</v>
      </c>
      <c r="DG55" s="54">
        <f>(DG38-DG46)*IF(DG1&gt;Assumptions!$T$68*12,0,1)</f>
        <v>40369.79794</v>
      </c>
      <c r="DH55" s="54">
        <f>(DH38-DH46)*IF(DH1&gt;Assumptions!$T$68*12,0,1)</f>
        <v>38774.46055</v>
      </c>
      <c r="DI55" s="54">
        <f>(DI38-DI46)*IF(DI1&gt;Assumptions!$T$68*12,0,1)</f>
        <v>38774.46055</v>
      </c>
      <c r="DJ55" s="54">
        <f>(DJ38-DJ46)*IF(DJ1&gt;Assumptions!$T$68*12,0,1)</f>
        <v>38774.46055</v>
      </c>
      <c r="DK55" s="54">
        <f>(DK38-DK46)*IF(DK1&gt;Assumptions!$T$68*12,0,1)</f>
        <v>38774.46055</v>
      </c>
      <c r="DL55" s="54">
        <f>(DL38-DL46)*IF(DL1&gt;Assumptions!$T$68*12,0,1)</f>
        <v>38774.46055</v>
      </c>
      <c r="DM55" s="54">
        <f>(DM38-DM46)*IF(DM1&gt;Assumptions!$T$68*12,0,1)</f>
        <v>38774.46055</v>
      </c>
      <c r="DN55" s="54">
        <f>(DN38-DN46)*IF(DN1&gt;Assumptions!$T$68*12,0,1)</f>
        <v>38774.46055</v>
      </c>
      <c r="DO55" s="54">
        <f>(DO38-DO46)*IF(DO1&gt;Assumptions!$T$68*12,0,1)</f>
        <v>38774.46055</v>
      </c>
      <c r="DP55" s="54">
        <f>(DP38-DP46)*IF(DP1&gt;Assumptions!$T$68*12,0,1)</f>
        <v>38774.46055</v>
      </c>
      <c r="DQ55" s="54">
        <f>(DQ38-DQ46)*IF(DQ1&gt;Assumptions!$T$68*12,0,1)</f>
        <v>38774.46055</v>
      </c>
      <c r="DR55" s="54">
        <f>(DR38-DR46)*IF(DR1&gt;Assumptions!$T$68*12,0,1)</f>
        <v>38774.46055</v>
      </c>
      <c r="DS55" s="54">
        <f>(DS38-DS46)*IF(DS1&gt;Assumptions!$T$68*12,0,1)</f>
        <v>38774.46055</v>
      </c>
      <c r="DT55" s="54">
        <f>(DT38-DT46)*IF(DT1&gt;Assumptions!$T$68*12,0,1)</f>
        <v>0</v>
      </c>
      <c r="DU55" s="54">
        <f>(DU38-DU46)*IF(DU1&gt;Assumptions!$T$68*12,0,1)</f>
        <v>0</v>
      </c>
      <c r="DV55" s="54">
        <f>(DV38-DV46)*IF(DV1&gt;Assumptions!$T$68*12,0,1)</f>
        <v>0</v>
      </c>
      <c r="DW55" s="54">
        <f>(DW38-DW46)*IF(DW1&gt;Assumptions!$T$68*12,0,1)</f>
        <v>0</v>
      </c>
      <c r="DX55" s="54">
        <f>(DX38-DX46)*IF(DX1&gt;Assumptions!$T$68*12,0,1)</f>
        <v>0</v>
      </c>
      <c r="DY55" s="54">
        <f>(DY38-DY46)*IF(DY1&gt;Assumptions!$T$68*12,0,1)</f>
        <v>0</v>
      </c>
      <c r="DZ55" s="54">
        <f>(DZ38-DZ46)*IF(DZ1&gt;Assumptions!$T$68*12,0,1)</f>
        <v>0</v>
      </c>
      <c r="EA55" s="54">
        <f>(EA38-EA46)*IF(EA1&gt;Assumptions!$T$68*12,0,1)</f>
        <v>0</v>
      </c>
      <c r="EB55" s="54">
        <f>(EB38-EB46)*IF(EB1&gt;Assumptions!$T$68*12,0,1)</f>
        <v>0</v>
      </c>
      <c r="EC55" s="54">
        <f>(EC38-EC46)*IF(EC1&gt;Assumptions!$T$68*12,0,1)</f>
        <v>0</v>
      </c>
      <c r="ED55" s="54">
        <f>(ED38-ED46)*IF(ED1&gt;Assumptions!$T$68*12,0,1)</f>
        <v>0</v>
      </c>
      <c r="EE55" s="54">
        <f>(EE38-EE46)*IF(EE1&gt;Assumptions!$T$68*12,0,1)</f>
        <v>0</v>
      </c>
    </row>
    <row r="56" ht="15.75" customHeight="1">
      <c r="A56" s="1"/>
      <c r="B56" s="1"/>
      <c r="C56" s="1" t="s">
        <v>153</v>
      </c>
      <c r="D56" s="54">
        <f t="shared" ref="D56:EE56" si="13">D53</f>
        <v>0</v>
      </c>
      <c r="E56" s="54">
        <f t="shared" si="13"/>
        <v>0</v>
      </c>
      <c r="F56" s="54">
        <f t="shared" si="13"/>
        <v>0</v>
      </c>
      <c r="G56" s="54">
        <f t="shared" si="13"/>
        <v>0</v>
      </c>
      <c r="H56" s="54">
        <f t="shared" si="13"/>
        <v>0</v>
      </c>
      <c r="I56" s="54">
        <f t="shared" si="13"/>
        <v>0</v>
      </c>
      <c r="J56" s="54">
        <f t="shared" si="13"/>
        <v>0</v>
      </c>
      <c r="K56" s="54">
        <f t="shared" si="13"/>
        <v>0</v>
      </c>
      <c r="L56" s="54">
        <f t="shared" si="13"/>
        <v>0</v>
      </c>
      <c r="M56" s="54">
        <f t="shared" si="13"/>
        <v>0</v>
      </c>
      <c r="N56" s="54">
        <f t="shared" si="13"/>
        <v>0</v>
      </c>
      <c r="O56" s="54">
        <f t="shared" si="13"/>
        <v>0</v>
      </c>
      <c r="P56" s="54">
        <f t="shared" si="13"/>
        <v>0</v>
      </c>
      <c r="Q56" s="54">
        <f t="shared" si="13"/>
        <v>0</v>
      </c>
      <c r="R56" s="54">
        <f t="shared" si="13"/>
        <v>0</v>
      </c>
      <c r="S56" s="54">
        <f t="shared" si="13"/>
        <v>0</v>
      </c>
      <c r="T56" s="54">
        <f t="shared" si="13"/>
        <v>0</v>
      </c>
      <c r="U56" s="54">
        <f t="shared" si="13"/>
        <v>0</v>
      </c>
      <c r="V56" s="54">
        <f t="shared" si="13"/>
        <v>0</v>
      </c>
      <c r="W56" s="54">
        <f t="shared" si="13"/>
        <v>0</v>
      </c>
      <c r="X56" s="54">
        <f t="shared" si="13"/>
        <v>0</v>
      </c>
      <c r="Y56" s="54">
        <f t="shared" si="13"/>
        <v>0</v>
      </c>
      <c r="Z56" s="54">
        <f t="shared" si="13"/>
        <v>0</v>
      </c>
      <c r="AA56" s="54">
        <f t="shared" si="13"/>
        <v>0</v>
      </c>
      <c r="AB56" s="54">
        <f t="shared" si="13"/>
        <v>0</v>
      </c>
      <c r="AC56" s="54">
        <f t="shared" si="13"/>
        <v>0</v>
      </c>
      <c r="AD56" s="54">
        <f t="shared" si="13"/>
        <v>0</v>
      </c>
      <c r="AE56" s="54">
        <f t="shared" si="13"/>
        <v>0</v>
      </c>
      <c r="AF56" s="54">
        <f t="shared" si="13"/>
        <v>0</v>
      </c>
      <c r="AG56" s="54">
        <f t="shared" si="13"/>
        <v>0</v>
      </c>
      <c r="AH56" s="54">
        <f t="shared" si="13"/>
        <v>0</v>
      </c>
      <c r="AI56" s="54">
        <f t="shared" si="13"/>
        <v>0</v>
      </c>
      <c r="AJ56" s="54">
        <f t="shared" si="13"/>
        <v>0</v>
      </c>
      <c r="AK56" s="54">
        <f t="shared" si="13"/>
        <v>0</v>
      </c>
      <c r="AL56" s="54">
        <f t="shared" si="13"/>
        <v>0</v>
      </c>
      <c r="AM56" s="54">
        <f t="shared" si="13"/>
        <v>0</v>
      </c>
      <c r="AN56" s="54">
        <f t="shared" si="13"/>
        <v>0</v>
      </c>
      <c r="AO56" s="54">
        <f t="shared" si="13"/>
        <v>0</v>
      </c>
      <c r="AP56" s="54">
        <f t="shared" si="13"/>
        <v>0</v>
      </c>
      <c r="AQ56" s="54">
        <f t="shared" si="13"/>
        <v>0</v>
      </c>
      <c r="AR56" s="54">
        <f t="shared" si="13"/>
        <v>0</v>
      </c>
      <c r="AS56" s="54">
        <f t="shared" si="13"/>
        <v>0</v>
      </c>
      <c r="AT56" s="54">
        <f t="shared" si="13"/>
        <v>0</v>
      </c>
      <c r="AU56" s="54">
        <f t="shared" si="13"/>
        <v>0</v>
      </c>
      <c r="AV56" s="54">
        <f t="shared" si="13"/>
        <v>0</v>
      </c>
      <c r="AW56" s="54">
        <f t="shared" si="13"/>
        <v>0</v>
      </c>
      <c r="AX56" s="54">
        <f t="shared" si="13"/>
        <v>0</v>
      </c>
      <c r="AY56" s="54">
        <f t="shared" si="13"/>
        <v>0</v>
      </c>
      <c r="AZ56" s="54">
        <f t="shared" si="13"/>
        <v>0</v>
      </c>
      <c r="BA56" s="54">
        <f t="shared" si="13"/>
        <v>0</v>
      </c>
      <c r="BB56" s="54">
        <f t="shared" si="13"/>
        <v>0</v>
      </c>
      <c r="BC56" s="54">
        <f t="shared" si="13"/>
        <v>0</v>
      </c>
      <c r="BD56" s="54">
        <f t="shared" si="13"/>
        <v>0</v>
      </c>
      <c r="BE56" s="54">
        <f t="shared" si="13"/>
        <v>0</v>
      </c>
      <c r="BF56" s="54">
        <f t="shared" si="13"/>
        <v>0</v>
      </c>
      <c r="BG56" s="54">
        <f t="shared" si="13"/>
        <v>0</v>
      </c>
      <c r="BH56" s="54">
        <f t="shared" si="13"/>
        <v>0</v>
      </c>
      <c r="BI56" s="54">
        <f t="shared" si="13"/>
        <v>0</v>
      </c>
      <c r="BJ56" s="54">
        <f t="shared" si="13"/>
        <v>0</v>
      </c>
      <c r="BK56" s="54">
        <f t="shared" si="13"/>
        <v>0</v>
      </c>
      <c r="BL56" s="54">
        <f t="shared" si="13"/>
        <v>0</v>
      </c>
      <c r="BM56" s="54">
        <f t="shared" si="13"/>
        <v>0</v>
      </c>
      <c r="BN56" s="54">
        <f t="shared" si="13"/>
        <v>0</v>
      </c>
      <c r="BO56" s="54">
        <f t="shared" si="13"/>
        <v>0</v>
      </c>
      <c r="BP56" s="54">
        <f t="shared" si="13"/>
        <v>0</v>
      </c>
      <c r="BQ56" s="54">
        <f t="shared" si="13"/>
        <v>0</v>
      </c>
      <c r="BR56" s="54">
        <f t="shared" si="13"/>
        <v>0</v>
      </c>
      <c r="BS56" s="54">
        <f t="shared" si="13"/>
        <v>0</v>
      </c>
      <c r="BT56" s="54">
        <f t="shared" si="13"/>
        <v>0</v>
      </c>
      <c r="BU56" s="54">
        <f t="shared" si="13"/>
        <v>0</v>
      </c>
      <c r="BV56" s="54">
        <f t="shared" si="13"/>
        <v>0</v>
      </c>
      <c r="BW56" s="54">
        <f t="shared" si="13"/>
        <v>0</v>
      </c>
      <c r="BX56" s="54">
        <f t="shared" si="13"/>
        <v>0</v>
      </c>
      <c r="BY56" s="54">
        <f t="shared" si="13"/>
        <v>0</v>
      </c>
      <c r="BZ56" s="54">
        <f t="shared" si="13"/>
        <v>0</v>
      </c>
      <c r="CA56" s="54">
        <f t="shared" si="13"/>
        <v>0</v>
      </c>
      <c r="CB56" s="54">
        <f t="shared" si="13"/>
        <v>0</v>
      </c>
      <c r="CC56" s="54">
        <f t="shared" si="13"/>
        <v>0</v>
      </c>
      <c r="CD56" s="54">
        <f t="shared" si="13"/>
        <v>0</v>
      </c>
      <c r="CE56" s="54">
        <f t="shared" si="13"/>
        <v>0</v>
      </c>
      <c r="CF56" s="54">
        <f t="shared" si="13"/>
        <v>0</v>
      </c>
      <c r="CG56" s="54">
        <f t="shared" si="13"/>
        <v>0</v>
      </c>
      <c r="CH56" s="54">
        <f t="shared" si="13"/>
        <v>0</v>
      </c>
      <c r="CI56" s="54">
        <f t="shared" si="13"/>
        <v>0</v>
      </c>
      <c r="CJ56" s="54">
        <f t="shared" si="13"/>
        <v>0</v>
      </c>
      <c r="CK56" s="54">
        <f t="shared" si="13"/>
        <v>0</v>
      </c>
      <c r="CL56" s="54">
        <f t="shared" si="13"/>
        <v>0</v>
      </c>
      <c r="CM56" s="54">
        <f t="shared" si="13"/>
        <v>0</v>
      </c>
      <c r="CN56" s="54">
        <f t="shared" si="13"/>
        <v>0</v>
      </c>
      <c r="CO56" s="54">
        <f t="shared" si="13"/>
        <v>0</v>
      </c>
      <c r="CP56" s="54">
        <f t="shared" si="13"/>
        <v>0</v>
      </c>
      <c r="CQ56" s="54">
        <f t="shared" si="13"/>
        <v>0</v>
      </c>
      <c r="CR56" s="54">
        <f t="shared" si="13"/>
        <v>0</v>
      </c>
      <c r="CS56" s="54">
        <f t="shared" si="13"/>
        <v>0</v>
      </c>
      <c r="CT56" s="54">
        <f t="shared" si="13"/>
        <v>0</v>
      </c>
      <c r="CU56" s="54">
        <f t="shared" si="13"/>
        <v>0</v>
      </c>
      <c r="CV56" s="54">
        <f t="shared" si="13"/>
        <v>0</v>
      </c>
      <c r="CW56" s="54">
        <f t="shared" si="13"/>
        <v>0</v>
      </c>
      <c r="CX56" s="54">
        <f t="shared" si="13"/>
        <v>0</v>
      </c>
      <c r="CY56" s="54">
        <f t="shared" si="13"/>
        <v>0</v>
      </c>
      <c r="CZ56" s="54">
        <f t="shared" si="13"/>
        <v>0</v>
      </c>
      <c r="DA56" s="54">
        <f t="shared" si="13"/>
        <v>0</v>
      </c>
      <c r="DB56" s="54">
        <f t="shared" si="13"/>
        <v>0</v>
      </c>
      <c r="DC56" s="54">
        <f t="shared" si="13"/>
        <v>0</v>
      </c>
      <c r="DD56" s="54">
        <f t="shared" si="13"/>
        <v>0</v>
      </c>
      <c r="DE56" s="54">
        <f t="shared" si="13"/>
        <v>0</v>
      </c>
      <c r="DF56" s="54">
        <f t="shared" si="13"/>
        <v>0</v>
      </c>
      <c r="DG56" s="54">
        <f t="shared" si="13"/>
        <v>0</v>
      </c>
      <c r="DH56" s="54">
        <f t="shared" si="13"/>
        <v>0</v>
      </c>
      <c r="DI56" s="54">
        <f t="shared" si="13"/>
        <v>0</v>
      </c>
      <c r="DJ56" s="54">
        <f t="shared" si="13"/>
        <v>0</v>
      </c>
      <c r="DK56" s="54">
        <f t="shared" si="13"/>
        <v>0</v>
      </c>
      <c r="DL56" s="54">
        <f t="shared" si="13"/>
        <v>0</v>
      </c>
      <c r="DM56" s="54">
        <f t="shared" si="13"/>
        <v>0</v>
      </c>
      <c r="DN56" s="54">
        <f t="shared" si="13"/>
        <v>0</v>
      </c>
      <c r="DO56" s="54">
        <f t="shared" si="13"/>
        <v>0</v>
      </c>
      <c r="DP56" s="54">
        <f t="shared" si="13"/>
        <v>0</v>
      </c>
      <c r="DQ56" s="54">
        <f t="shared" si="13"/>
        <v>0</v>
      </c>
      <c r="DR56" s="54">
        <f t="shared" si="13"/>
        <v>0</v>
      </c>
      <c r="DS56" s="54">
        <f t="shared" si="13"/>
        <v>10854363.73</v>
      </c>
      <c r="DT56" s="54">
        <f t="shared" si="13"/>
        <v>0</v>
      </c>
      <c r="DU56" s="54">
        <f t="shared" si="13"/>
        <v>0</v>
      </c>
      <c r="DV56" s="54">
        <f t="shared" si="13"/>
        <v>0</v>
      </c>
      <c r="DW56" s="54">
        <f t="shared" si="13"/>
        <v>0</v>
      </c>
      <c r="DX56" s="54">
        <f t="shared" si="13"/>
        <v>0</v>
      </c>
      <c r="DY56" s="54">
        <f t="shared" si="13"/>
        <v>0</v>
      </c>
      <c r="DZ56" s="54">
        <f t="shared" si="13"/>
        <v>0</v>
      </c>
      <c r="EA56" s="54">
        <f t="shared" si="13"/>
        <v>0</v>
      </c>
      <c r="EB56" s="54">
        <f t="shared" si="13"/>
        <v>0</v>
      </c>
      <c r="EC56" s="54">
        <f t="shared" si="13"/>
        <v>0</v>
      </c>
      <c r="ED56" s="54">
        <f t="shared" si="13"/>
        <v>0</v>
      </c>
      <c r="EE56" s="54">
        <f t="shared" si="13"/>
        <v>0</v>
      </c>
    </row>
    <row r="57" ht="15.75" customHeight="1">
      <c r="A57" s="1"/>
      <c r="B57" s="92"/>
      <c r="C57" s="47" t="s">
        <v>154</v>
      </c>
      <c r="D57" s="209">
        <f t="shared" ref="D57:EE57" si="14">SUM(D55:D56)</f>
        <v>59835.1826</v>
      </c>
      <c r="E57" s="209">
        <f t="shared" si="14"/>
        <v>59835.1826</v>
      </c>
      <c r="F57" s="209">
        <f t="shared" si="14"/>
        <v>59835.1826</v>
      </c>
      <c r="G57" s="209">
        <f t="shared" si="14"/>
        <v>59835.1826</v>
      </c>
      <c r="H57" s="209">
        <f t="shared" si="14"/>
        <v>59835.1826</v>
      </c>
      <c r="I57" s="209">
        <f t="shared" si="14"/>
        <v>59835.1826</v>
      </c>
      <c r="J57" s="209">
        <f t="shared" si="14"/>
        <v>59835.1826</v>
      </c>
      <c r="K57" s="209">
        <f t="shared" si="14"/>
        <v>59835.1826</v>
      </c>
      <c r="L57" s="209">
        <f t="shared" si="14"/>
        <v>59835.1826</v>
      </c>
      <c r="M57" s="209">
        <f t="shared" si="14"/>
        <v>59835.1826</v>
      </c>
      <c r="N57" s="209">
        <f t="shared" si="14"/>
        <v>59835.1826</v>
      </c>
      <c r="O57" s="209">
        <f t="shared" si="14"/>
        <v>59835.1826</v>
      </c>
      <c r="P57" s="209">
        <f t="shared" si="14"/>
        <v>69827.53992</v>
      </c>
      <c r="Q57" s="209">
        <f t="shared" si="14"/>
        <v>69827.53992</v>
      </c>
      <c r="R57" s="209">
        <f t="shared" si="14"/>
        <v>69827.53992</v>
      </c>
      <c r="S57" s="209">
        <f t="shared" si="14"/>
        <v>69827.53992</v>
      </c>
      <c r="T57" s="209">
        <f t="shared" si="14"/>
        <v>69827.53992</v>
      </c>
      <c r="U57" s="209">
        <f t="shared" si="14"/>
        <v>69827.53992</v>
      </c>
      <c r="V57" s="209">
        <f t="shared" si="14"/>
        <v>69827.53992</v>
      </c>
      <c r="W57" s="209">
        <f t="shared" si="14"/>
        <v>69827.53992</v>
      </c>
      <c r="X57" s="209">
        <f t="shared" si="14"/>
        <v>69827.53992</v>
      </c>
      <c r="Y57" s="209">
        <f t="shared" si="14"/>
        <v>69827.53992</v>
      </c>
      <c r="Z57" s="209">
        <f t="shared" si="14"/>
        <v>69827.53992</v>
      </c>
      <c r="AA57" s="209">
        <f t="shared" si="14"/>
        <v>69827.53992</v>
      </c>
      <c r="AB57" s="209">
        <f t="shared" si="14"/>
        <v>71922.36612</v>
      </c>
      <c r="AC57" s="209">
        <f t="shared" si="14"/>
        <v>71922.36612</v>
      </c>
      <c r="AD57" s="209">
        <f t="shared" si="14"/>
        <v>71922.36612</v>
      </c>
      <c r="AE57" s="209">
        <f t="shared" si="14"/>
        <v>71922.36612</v>
      </c>
      <c r="AF57" s="209">
        <f t="shared" si="14"/>
        <v>71922.36612</v>
      </c>
      <c r="AG57" s="209">
        <f t="shared" si="14"/>
        <v>71922.36612</v>
      </c>
      <c r="AH57" s="209">
        <f t="shared" si="14"/>
        <v>71922.36612</v>
      </c>
      <c r="AI57" s="209">
        <f t="shared" si="14"/>
        <v>71922.36612</v>
      </c>
      <c r="AJ57" s="209">
        <f t="shared" si="14"/>
        <v>71922.36612</v>
      </c>
      <c r="AK57" s="209">
        <f t="shared" si="14"/>
        <v>71922.36612</v>
      </c>
      <c r="AL57" s="209">
        <f t="shared" si="14"/>
        <v>71922.36612</v>
      </c>
      <c r="AM57" s="209">
        <f t="shared" si="14"/>
        <v>71922.36612</v>
      </c>
      <c r="AN57" s="209">
        <f t="shared" si="14"/>
        <v>28570.7686</v>
      </c>
      <c r="AO57" s="209">
        <f t="shared" si="14"/>
        <v>28570.7686</v>
      </c>
      <c r="AP57" s="209">
        <f t="shared" si="14"/>
        <v>28570.7686</v>
      </c>
      <c r="AQ57" s="209">
        <f t="shared" si="14"/>
        <v>28570.7686</v>
      </c>
      <c r="AR57" s="209">
        <f t="shared" si="14"/>
        <v>28570.7686</v>
      </c>
      <c r="AS57" s="209">
        <f t="shared" si="14"/>
        <v>28570.7686</v>
      </c>
      <c r="AT57" s="209">
        <f t="shared" si="14"/>
        <v>28570.7686</v>
      </c>
      <c r="AU57" s="209">
        <f t="shared" si="14"/>
        <v>28570.7686</v>
      </c>
      <c r="AV57" s="209">
        <f t="shared" si="14"/>
        <v>28570.7686</v>
      </c>
      <c r="AW57" s="209">
        <f t="shared" si="14"/>
        <v>28570.7686</v>
      </c>
      <c r="AX57" s="209">
        <f t="shared" si="14"/>
        <v>28570.7686</v>
      </c>
      <c r="AY57" s="209">
        <f t="shared" si="14"/>
        <v>28570.7686</v>
      </c>
      <c r="AZ57" s="209">
        <f t="shared" si="14"/>
        <v>30793.16972</v>
      </c>
      <c r="BA57" s="209">
        <f t="shared" si="14"/>
        <v>30793.16972</v>
      </c>
      <c r="BB57" s="209">
        <f t="shared" si="14"/>
        <v>30793.16972</v>
      </c>
      <c r="BC57" s="209">
        <f t="shared" si="14"/>
        <v>30793.16972</v>
      </c>
      <c r="BD57" s="209">
        <f t="shared" si="14"/>
        <v>30793.16972</v>
      </c>
      <c r="BE57" s="209">
        <f t="shared" si="14"/>
        <v>30793.16972</v>
      </c>
      <c r="BF57" s="209">
        <f t="shared" si="14"/>
        <v>30793.16972</v>
      </c>
      <c r="BG57" s="209">
        <f t="shared" si="14"/>
        <v>30793.16972</v>
      </c>
      <c r="BH57" s="209">
        <f t="shared" si="14"/>
        <v>30793.16972</v>
      </c>
      <c r="BI57" s="209">
        <f t="shared" si="14"/>
        <v>30793.16972</v>
      </c>
      <c r="BJ57" s="209">
        <f t="shared" si="14"/>
        <v>30793.16972</v>
      </c>
      <c r="BK57" s="209">
        <f t="shared" si="14"/>
        <v>30793.16972</v>
      </c>
      <c r="BL57" s="209">
        <f t="shared" si="14"/>
        <v>33082.24286</v>
      </c>
      <c r="BM57" s="209">
        <f t="shared" si="14"/>
        <v>33082.24286</v>
      </c>
      <c r="BN57" s="209">
        <f t="shared" si="14"/>
        <v>33082.24286</v>
      </c>
      <c r="BO57" s="209">
        <f t="shared" si="14"/>
        <v>33082.24286</v>
      </c>
      <c r="BP57" s="209">
        <f t="shared" si="14"/>
        <v>33082.24286</v>
      </c>
      <c r="BQ57" s="209">
        <f t="shared" si="14"/>
        <v>33082.24286</v>
      </c>
      <c r="BR57" s="209">
        <f t="shared" si="14"/>
        <v>33082.24286</v>
      </c>
      <c r="BS57" s="209">
        <f t="shared" si="14"/>
        <v>33082.24286</v>
      </c>
      <c r="BT57" s="209">
        <f t="shared" si="14"/>
        <v>33082.24286</v>
      </c>
      <c r="BU57" s="209">
        <f t="shared" si="14"/>
        <v>33082.24286</v>
      </c>
      <c r="BV57" s="209">
        <f t="shared" si="14"/>
        <v>33082.24286</v>
      </c>
      <c r="BW57" s="209">
        <f t="shared" si="14"/>
        <v>33082.24286</v>
      </c>
      <c r="BX57" s="209">
        <f t="shared" si="14"/>
        <v>35439.9882</v>
      </c>
      <c r="BY57" s="209">
        <f t="shared" si="14"/>
        <v>35439.9882</v>
      </c>
      <c r="BZ57" s="209">
        <f t="shared" si="14"/>
        <v>35439.9882</v>
      </c>
      <c r="CA57" s="209">
        <f t="shared" si="14"/>
        <v>35439.9882</v>
      </c>
      <c r="CB57" s="209">
        <f t="shared" si="14"/>
        <v>35439.9882</v>
      </c>
      <c r="CC57" s="209">
        <f t="shared" si="14"/>
        <v>35439.9882</v>
      </c>
      <c r="CD57" s="209">
        <f t="shared" si="14"/>
        <v>35439.9882</v>
      </c>
      <c r="CE57" s="209">
        <f t="shared" si="14"/>
        <v>35439.9882</v>
      </c>
      <c r="CF57" s="209">
        <f t="shared" si="14"/>
        <v>35439.9882</v>
      </c>
      <c r="CG57" s="209">
        <f t="shared" si="14"/>
        <v>35439.9882</v>
      </c>
      <c r="CH57" s="209">
        <f t="shared" si="14"/>
        <v>35439.9882</v>
      </c>
      <c r="CI57" s="209">
        <f t="shared" si="14"/>
        <v>35439.9882</v>
      </c>
      <c r="CJ57" s="209">
        <f t="shared" si="14"/>
        <v>37868.4659</v>
      </c>
      <c r="CK57" s="209">
        <f t="shared" si="14"/>
        <v>37868.4659</v>
      </c>
      <c r="CL57" s="209">
        <f t="shared" si="14"/>
        <v>37868.4659</v>
      </c>
      <c r="CM57" s="209">
        <f t="shared" si="14"/>
        <v>37868.4659</v>
      </c>
      <c r="CN57" s="209">
        <f t="shared" si="14"/>
        <v>37868.4659</v>
      </c>
      <c r="CO57" s="209">
        <f t="shared" si="14"/>
        <v>37868.4659</v>
      </c>
      <c r="CP57" s="209">
        <f t="shared" si="14"/>
        <v>37868.4659</v>
      </c>
      <c r="CQ57" s="209">
        <f t="shared" si="14"/>
        <v>37868.4659</v>
      </c>
      <c r="CR57" s="209">
        <f t="shared" si="14"/>
        <v>37868.4659</v>
      </c>
      <c r="CS57" s="209">
        <f t="shared" si="14"/>
        <v>37868.4659</v>
      </c>
      <c r="CT57" s="209">
        <f t="shared" si="14"/>
        <v>37868.4659</v>
      </c>
      <c r="CU57" s="209">
        <f t="shared" si="14"/>
        <v>37868.4659</v>
      </c>
      <c r="CV57" s="209">
        <f t="shared" si="14"/>
        <v>40369.79794</v>
      </c>
      <c r="CW57" s="209">
        <f t="shared" si="14"/>
        <v>40369.79794</v>
      </c>
      <c r="CX57" s="209">
        <f t="shared" si="14"/>
        <v>40369.79794</v>
      </c>
      <c r="CY57" s="209">
        <f t="shared" si="14"/>
        <v>40369.79794</v>
      </c>
      <c r="CZ57" s="209">
        <f t="shared" si="14"/>
        <v>40369.79794</v>
      </c>
      <c r="DA57" s="209">
        <f t="shared" si="14"/>
        <v>40369.79794</v>
      </c>
      <c r="DB57" s="209">
        <f t="shared" si="14"/>
        <v>40369.79794</v>
      </c>
      <c r="DC57" s="209">
        <f t="shared" si="14"/>
        <v>40369.79794</v>
      </c>
      <c r="DD57" s="209">
        <f t="shared" si="14"/>
        <v>40369.79794</v>
      </c>
      <c r="DE57" s="209">
        <f t="shared" si="14"/>
        <v>40369.79794</v>
      </c>
      <c r="DF57" s="209">
        <f t="shared" si="14"/>
        <v>40369.79794</v>
      </c>
      <c r="DG57" s="209">
        <f t="shared" si="14"/>
        <v>40369.79794</v>
      </c>
      <c r="DH57" s="209">
        <f t="shared" si="14"/>
        <v>38774.46055</v>
      </c>
      <c r="DI57" s="209">
        <f t="shared" si="14"/>
        <v>38774.46055</v>
      </c>
      <c r="DJ57" s="209">
        <f t="shared" si="14"/>
        <v>38774.46055</v>
      </c>
      <c r="DK57" s="209">
        <f t="shared" si="14"/>
        <v>38774.46055</v>
      </c>
      <c r="DL57" s="209">
        <f t="shared" si="14"/>
        <v>38774.46055</v>
      </c>
      <c r="DM57" s="209">
        <f t="shared" si="14"/>
        <v>38774.46055</v>
      </c>
      <c r="DN57" s="209">
        <f t="shared" si="14"/>
        <v>38774.46055</v>
      </c>
      <c r="DO57" s="209">
        <f t="shared" si="14"/>
        <v>38774.46055</v>
      </c>
      <c r="DP57" s="209">
        <f t="shared" si="14"/>
        <v>38774.46055</v>
      </c>
      <c r="DQ57" s="209">
        <f t="shared" si="14"/>
        <v>38774.46055</v>
      </c>
      <c r="DR57" s="209">
        <f t="shared" si="14"/>
        <v>38774.46055</v>
      </c>
      <c r="DS57" s="209">
        <f t="shared" si="14"/>
        <v>10893138.19</v>
      </c>
      <c r="DT57" s="209">
        <f t="shared" si="14"/>
        <v>0</v>
      </c>
      <c r="DU57" s="209">
        <f t="shared" si="14"/>
        <v>0</v>
      </c>
      <c r="DV57" s="209">
        <f t="shared" si="14"/>
        <v>0</v>
      </c>
      <c r="DW57" s="209">
        <f t="shared" si="14"/>
        <v>0</v>
      </c>
      <c r="DX57" s="209">
        <f t="shared" si="14"/>
        <v>0</v>
      </c>
      <c r="DY57" s="209">
        <f t="shared" si="14"/>
        <v>0</v>
      </c>
      <c r="DZ57" s="209">
        <f t="shared" si="14"/>
        <v>0</v>
      </c>
      <c r="EA57" s="209">
        <f t="shared" si="14"/>
        <v>0</v>
      </c>
      <c r="EB57" s="209">
        <f t="shared" si="14"/>
        <v>0</v>
      </c>
      <c r="EC57" s="209">
        <f t="shared" si="14"/>
        <v>0</v>
      </c>
      <c r="ED57" s="209">
        <f t="shared" si="14"/>
        <v>0</v>
      </c>
      <c r="EE57" s="209">
        <f t="shared" si="14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84"/>
      <c r="B1" s="301" t="s">
        <v>192</v>
      </c>
      <c r="C1" s="84"/>
      <c r="D1" s="84">
        <v>1.0</v>
      </c>
      <c r="E1" s="84">
        <f t="shared" ref="E1:EE1" si="1">D1+1</f>
        <v>2</v>
      </c>
      <c r="F1" s="84">
        <f t="shared" si="1"/>
        <v>3</v>
      </c>
      <c r="G1" s="84">
        <f t="shared" si="1"/>
        <v>4</v>
      </c>
      <c r="H1" s="84">
        <f t="shared" si="1"/>
        <v>5</v>
      </c>
      <c r="I1" s="84">
        <f t="shared" si="1"/>
        <v>6</v>
      </c>
      <c r="J1" s="84">
        <f t="shared" si="1"/>
        <v>7</v>
      </c>
      <c r="K1" s="84">
        <f t="shared" si="1"/>
        <v>8</v>
      </c>
      <c r="L1" s="84">
        <f t="shared" si="1"/>
        <v>9</v>
      </c>
      <c r="M1" s="84">
        <f t="shared" si="1"/>
        <v>10</v>
      </c>
      <c r="N1" s="84">
        <f t="shared" si="1"/>
        <v>11</v>
      </c>
      <c r="O1" s="84">
        <f t="shared" si="1"/>
        <v>12</v>
      </c>
      <c r="P1" s="84">
        <f t="shared" si="1"/>
        <v>13</v>
      </c>
      <c r="Q1" s="84">
        <f t="shared" si="1"/>
        <v>14</v>
      </c>
      <c r="R1" s="84">
        <f t="shared" si="1"/>
        <v>15</v>
      </c>
      <c r="S1" s="84">
        <f t="shared" si="1"/>
        <v>16</v>
      </c>
      <c r="T1" s="84">
        <f t="shared" si="1"/>
        <v>17</v>
      </c>
      <c r="U1" s="84">
        <f t="shared" si="1"/>
        <v>18</v>
      </c>
      <c r="V1" s="84">
        <f t="shared" si="1"/>
        <v>19</v>
      </c>
      <c r="W1" s="84">
        <f t="shared" si="1"/>
        <v>20</v>
      </c>
      <c r="X1" s="84">
        <f t="shared" si="1"/>
        <v>21</v>
      </c>
      <c r="Y1" s="84">
        <f t="shared" si="1"/>
        <v>22</v>
      </c>
      <c r="Z1" s="84">
        <f t="shared" si="1"/>
        <v>23</v>
      </c>
      <c r="AA1" s="84">
        <f t="shared" si="1"/>
        <v>24</v>
      </c>
      <c r="AB1" s="84">
        <f t="shared" si="1"/>
        <v>25</v>
      </c>
      <c r="AC1" s="84">
        <f t="shared" si="1"/>
        <v>26</v>
      </c>
      <c r="AD1" s="84">
        <f t="shared" si="1"/>
        <v>27</v>
      </c>
      <c r="AE1" s="84">
        <f t="shared" si="1"/>
        <v>28</v>
      </c>
      <c r="AF1" s="84">
        <f t="shared" si="1"/>
        <v>29</v>
      </c>
      <c r="AG1" s="84">
        <f t="shared" si="1"/>
        <v>30</v>
      </c>
      <c r="AH1" s="84">
        <f t="shared" si="1"/>
        <v>31</v>
      </c>
      <c r="AI1" s="84">
        <f t="shared" si="1"/>
        <v>32</v>
      </c>
      <c r="AJ1" s="84">
        <f t="shared" si="1"/>
        <v>33</v>
      </c>
      <c r="AK1" s="84">
        <f t="shared" si="1"/>
        <v>34</v>
      </c>
      <c r="AL1" s="84">
        <f t="shared" si="1"/>
        <v>35</v>
      </c>
      <c r="AM1" s="84">
        <f t="shared" si="1"/>
        <v>36</v>
      </c>
      <c r="AN1" s="84">
        <f t="shared" si="1"/>
        <v>37</v>
      </c>
      <c r="AO1" s="84">
        <f t="shared" si="1"/>
        <v>38</v>
      </c>
      <c r="AP1" s="84">
        <f t="shared" si="1"/>
        <v>39</v>
      </c>
      <c r="AQ1" s="84">
        <f t="shared" si="1"/>
        <v>40</v>
      </c>
      <c r="AR1" s="84">
        <f t="shared" si="1"/>
        <v>41</v>
      </c>
      <c r="AS1" s="84">
        <f t="shared" si="1"/>
        <v>42</v>
      </c>
      <c r="AT1" s="84">
        <f t="shared" si="1"/>
        <v>43</v>
      </c>
      <c r="AU1" s="84">
        <f t="shared" si="1"/>
        <v>44</v>
      </c>
      <c r="AV1" s="84">
        <f t="shared" si="1"/>
        <v>45</v>
      </c>
      <c r="AW1" s="84">
        <f t="shared" si="1"/>
        <v>46</v>
      </c>
      <c r="AX1" s="84">
        <f t="shared" si="1"/>
        <v>47</v>
      </c>
      <c r="AY1" s="84">
        <f t="shared" si="1"/>
        <v>48</v>
      </c>
      <c r="AZ1" s="84">
        <f t="shared" si="1"/>
        <v>49</v>
      </c>
      <c r="BA1" s="84">
        <f t="shared" si="1"/>
        <v>50</v>
      </c>
      <c r="BB1" s="84">
        <f t="shared" si="1"/>
        <v>51</v>
      </c>
      <c r="BC1" s="84">
        <f t="shared" si="1"/>
        <v>52</v>
      </c>
      <c r="BD1" s="84">
        <f t="shared" si="1"/>
        <v>53</v>
      </c>
      <c r="BE1" s="84">
        <f t="shared" si="1"/>
        <v>54</v>
      </c>
      <c r="BF1" s="84">
        <f t="shared" si="1"/>
        <v>55</v>
      </c>
      <c r="BG1" s="84">
        <f t="shared" si="1"/>
        <v>56</v>
      </c>
      <c r="BH1" s="84">
        <f t="shared" si="1"/>
        <v>57</v>
      </c>
      <c r="BI1" s="84">
        <f t="shared" si="1"/>
        <v>58</v>
      </c>
      <c r="BJ1" s="84">
        <f t="shared" si="1"/>
        <v>59</v>
      </c>
      <c r="BK1" s="84">
        <f t="shared" si="1"/>
        <v>60</v>
      </c>
      <c r="BL1" s="84">
        <f t="shared" si="1"/>
        <v>61</v>
      </c>
      <c r="BM1" s="84">
        <f t="shared" si="1"/>
        <v>62</v>
      </c>
      <c r="BN1" s="84">
        <f t="shared" si="1"/>
        <v>63</v>
      </c>
      <c r="BO1" s="84">
        <f t="shared" si="1"/>
        <v>64</v>
      </c>
      <c r="BP1" s="84">
        <f t="shared" si="1"/>
        <v>65</v>
      </c>
      <c r="BQ1" s="84">
        <f t="shared" si="1"/>
        <v>66</v>
      </c>
      <c r="BR1" s="84">
        <f t="shared" si="1"/>
        <v>67</v>
      </c>
      <c r="BS1" s="84">
        <f t="shared" si="1"/>
        <v>68</v>
      </c>
      <c r="BT1" s="84">
        <f t="shared" si="1"/>
        <v>69</v>
      </c>
      <c r="BU1" s="84">
        <f t="shared" si="1"/>
        <v>70</v>
      </c>
      <c r="BV1" s="84">
        <f t="shared" si="1"/>
        <v>71</v>
      </c>
      <c r="BW1" s="84">
        <f t="shared" si="1"/>
        <v>72</v>
      </c>
      <c r="BX1" s="84">
        <f t="shared" si="1"/>
        <v>73</v>
      </c>
      <c r="BY1" s="84">
        <f t="shared" si="1"/>
        <v>74</v>
      </c>
      <c r="BZ1" s="84">
        <f t="shared" si="1"/>
        <v>75</v>
      </c>
      <c r="CA1" s="84">
        <f t="shared" si="1"/>
        <v>76</v>
      </c>
      <c r="CB1" s="84">
        <f t="shared" si="1"/>
        <v>77</v>
      </c>
      <c r="CC1" s="84">
        <f t="shared" si="1"/>
        <v>78</v>
      </c>
      <c r="CD1" s="84">
        <f t="shared" si="1"/>
        <v>79</v>
      </c>
      <c r="CE1" s="84">
        <f t="shared" si="1"/>
        <v>80</v>
      </c>
      <c r="CF1" s="84">
        <f t="shared" si="1"/>
        <v>81</v>
      </c>
      <c r="CG1" s="84">
        <f t="shared" si="1"/>
        <v>82</v>
      </c>
      <c r="CH1" s="84">
        <f t="shared" si="1"/>
        <v>83</v>
      </c>
      <c r="CI1" s="84">
        <f t="shared" si="1"/>
        <v>84</v>
      </c>
      <c r="CJ1" s="84">
        <f t="shared" si="1"/>
        <v>85</v>
      </c>
      <c r="CK1" s="84">
        <f t="shared" si="1"/>
        <v>86</v>
      </c>
      <c r="CL1" s="84">
        <f t="shared" si="1"/>
        <v>87</v>
      </c>
      <c r="CM1" s="84">
        <f t="shared" si="1"/>
        <v>88</v>
      </c>
      <c r="CN1" s="84">
        <f t="shared" si="1"/>
        <v>89</v>
      </c>
      <c r="CO1" s="84">
        <f t="shared" si="1"/>
        <v>90</v>
      </c>
      <c r="CP1" s="84">
        <f t="shared" si="1"/>
        <v>91</v>
      </c>
      <c r="CQ1" s="84">
        <f t="shared" si="1"/>
        <v>92</v>
      </c>
      <c r="CR1" s="84">
        <f t="shared" si="1"/>
        <v>93</v>
      </c>
      <c r="CS1" s="84">
        <f t="shared" si="1"/>
        <v>94</v>
      </c>
      <c r="CT1" s="84">
        <f t="shared" si="1"/>
        <v>95</v>
      </c>
      <c r="CU1" s="84">
        <f t="shared" si="1"/>
        <v>96</v>
      </c>
      <c r="CV1" s="84">
        <f t="shared" si="1"/>
        <v>97</v>
      </c>
      <c r="CW1" s="84">
        <f t="shared" si="1"/>
        <v>98</v>
      </c>
      <c r="CX1" s="84">
        <f t="shared" si="1"/>
        <v>99</v>
      </c>
      <c r="CY1" s="84">
        <f t="shared" si="1"/>
        <v>100</v>
      </c>
      <c r="CZ1" s="84">
        <f t="shared" si="1"/>
        <v>101</v>
      </c>
      <c r="DA1" s="84">
        <f t="shared" si="1"/>
        <v>102</v>
      </c>
      <c r="DB1" s="84">
        <f t="shared" si="1"/>
        <v>103</v>
      </c>
      <c r="DC1" s="84">
        <f t="shared" si="1"/>
        <v>104</v>
      </c>
      <c r="DD1" s="84">
        <f t="shared" si="1"/>
        <v>105</v>
      </c>
      <c r="DE1" s="84">
        <f t="shared" si="1"/>
        <v>106</v>
      </c>
      <c r="DF1" s="84">
        <f t="shared" si="1"/>
        <v>107</v>
      </c>
      <c r="DG1" s="84">
        <f t="shared" si="1"/>
        <v>108</v>
      </c>
      <c r="DH1" s="84">
        <f t="shared" si="1"/>
        <v>109</v>
      </c>
      <c r="DI1" s="84">
        <f t="shared" si="1"/>
        <v>110</v>
      </c>
      <c r="DJ1" s="84">
        <f t="shared" si="1"/>
        <v>111</v>
      </c>
      <c r="DK1" s="84">
        <f t="shared" si="1"/>
        <v>112</v>
      </c>
      <c r="DL1" s="84">
        <f t="shared" si="1"/>
        <v>113</v>
      </c>
      <c r="DM1" s="84">
        <f t="shared" si="1"/>
        <v>114</v>
      </c>
      <c r="DN1" s="84">
        <f t="shared" si="1"/>
        <v>115</v>
      </c>
      <c r="DO1" s="84">
        <f t="shared" si="1"/>
        <v>116</v>
      </c>
      <c r="DP1" s="84">
        <f t="shared" si="1"/>
        <v>117</v>
      </c>
      <c r="DQ1" s="84">
        <f t="shared" si="1"/>
        <v>118</v>
      </c>
      <c r="DR1" s="84">
        <f t="shared" si="1"/>
        <v>119</v>
      </c>
      <c r="DS1" s="84">
        <f t="shared" si="1"/>
        <v>120</v>
      </c>
      <c r="DT1" s="84">
        <f t="shared" si="1"/>
        <v>121</v>
      </c>
      <c r="DU1" s="84">
        <f t="shared" si="1"/>
        <v>122</v>
      </c>
      <c r="DV1" s="84">
        <f t="shared" si="1"/>
        <v>123</v>
      </c>
      <c r="DW1" s="84">
        <f t="shared" si="1"/>
        <v>124</v>
      </c>
      <c r="DX1" s="84">
        <f t="shared" si="1"/>
        <v>125</v>
      </c>
      <c r="DY1" s="84">
        <f t="shared" si="1"/>
        <v>126</v>
      </c>
      <c r="DZ1" s="84">
        <f t="shared" si="1"/>
        <v>127</v>
      </c>
      <c r="EA1" s="84">
        <f t="shared" si="1"/>
        <v>128</v>
      </c>
      <c r="EB1" s="84">
        <f t="shared" si="1"/>
        <v>129</v>
      </c>
      <c r="EC1" s="84">
        <f t="shared" si="1"/>
        <v>130</v>
      </c>
      <c r="ED1" s="84">
        <f t="shared" si="1"/>
        <v>131</v>
      </c>
      <c r="EE1" s="84">
        <f t="shared" si="1"/>
        <v>132</v>
      </c>
    </row>
    <row r="2" ht="15.75" customHeight="1">
      <c r="A2" s="84"/>
      <c r="B2" s="301" t="s">
        <v>136</v>
      </c>
      <c r="C2" s="84"/>
      <c r="D2" s="84">
        <f t="shared" ref="D2:EE2" si="2">ROUNDUP(D1/12,0)</f>
        <v>1</v>
      </c>
      <c r="E2" s="84">
        <f t="shared" si="2"/>
        <v>1</v>
      </c>
      <c r="F2" s="84">
        <f t="shared" si="2"/>
        <v>1</v>
      </c>
      <c r="G2" s="84">
        <f t="shared" si="2"/>
        <v>1</v>
      </c>
      <c r="H2" s="84">
        <f t="shared" si="2"/>
        <v>1</v>
      </c>
      <c r="I2" s="84">
        <f t="shared" si="2"/>
        <v>1</v>
      </c>
      <c r="J2" s="84">
        <f t="shared" si="2"/>
        <v>1</v>
      </c>
      <c r="K2" s="84">
        <f t="shared" si="2"/>
        <v>1</v>
      </c>
      <c r="L2" s="84">
        <f t="shared" si="2"/>
        <v>1</v>
      </c>
      <c r="M2" s="84">
        <f t="shared" si="2"/>
        <v>1</v>
      </c>
      <c r="N2" s="84">
        <f t="shared" si="2"/>
        <v>1</v>
      </c>
      <c r="O2" s="84">
        <f t="shared" si="2"/>
        <v>1</v>
      </c>
      <c r="P2" s="84">
        <f t="shared" si="2"/>
        <v>2</v>
      </c>
      <c r="Q2" s="84">
        <f t="shared" si="2"/>
        <v>2</v>
      </c>
      <c r="R2" s="84">
        <f t="shared" si="2"/>
        <v>2</v>
      </c>
      <c r="S2" s="84">
        <f t="shared" si="2"/>
        <v>2</v>
      </c>
      <c r="T2" s="84">
        <f t="shared" si="2"/>
        <v>2</v>
      </c>
      <c r="U2" s="84">
        <f t="shared" si="2"/>
        <v>2</v>
      </c>
      <c r="V2" s="84">
        <f t="shared" si="2"/>
        <v>2</v>
      </c>
      <c r="W2" s="84">
        <f t="shared" si="2"/>
        <v>2</v>
      </c>
      <c r="X2" s="84">
        <f t="shared" si="2"/>
        <v>2</v>
      </c>
      <c r="Y2" s="84">
        <f t="shared" si="2"/>
        <v>2</v>
      </c>
      <c r="Z2" s="84">
        <f t="shared" si="2"/>
        <v>2</v>
      </c>
      <c r="AA2" s="84">
        <f t="shared" si="2"/>
        <v>2</v>
      </c>
      <c r="AB2" s="84">
        <f t="shared" si="2"/>
        <v>3</v>
      </c>
      <c r="AC2" s="84">
        <f t="shared" si="2"/>
        <v>3</v>
      </c>
      <c r="AD2" s="84">
        <f t="shared" si="2"/>
        <v>3</v>
      </c>
      <c r="AE2" s="84">
        <f t="shared" si="2"/>
        <v>3</v>
      </c>
      <c r="AF2" s="84">
        <f t="shared" si="2"/>
        <v>3</v>
      </c>
      <c r="AG2" s="84">
        <f t="shared" si="2"/>
        <v>3</v>
      </c>
      <c r="AH2" s="84">
        <f t="shared" si="2"/>
        <v>3</v>
      </c>
      <c r="AI2" s="84">
        <f t="shared" si="2"/>
        <v>3</v>
      </c>
      <c r="AJ2" s="84">
        <f t="shared" si="2"/>
        <v>3</v>
      </c>
      <c r="AK2" s="84">
        <f t="shared" si="2"/>
        <v>3</v>
      </c>
      <c r="AL2" s="84">
        <f t="shared" si="2"/>
        <v>3</v>
      </c>
      <c r="AM2" s="84">
        <f t="shared" si="2"/>
        <v>3</v>
      </c>
      <c r="AN2" s="84">
        <f t="shared" si="2"/>
        <v>4</v>
      </c>
      <c r="AO2" s="84">
        <f t="shared" si="2"/>
        <v>4</v>
      </c>
      <c r="AP2" s="84">
        <f t="shared" si="2"/>
        <v>4</v>
      </c>
      <c r="AQ2" s="84">
        <f t="shared" si="2"/>
        <v>4</v>
      </c>
      <c r="AR2" s="84">
        <f t="shared" si="2"/>
        <v>4</v>
      </c>
      <c r="AS2" s="84">
        <f t="shared" si="2"/>
        <v>4</v>
      </c>
      <c r="AT2" s="84">
        <f t="shared" si="2"/>
        <v>4</v>
      </c>
      <c r="AU2" s="84">
        <f t="shared" si="2"/>
        <v>4</v>
      </c>
      <c r="AV2" s="84">
        <f t="shared" si="2"/>
        <v>4</v>
      </c>
      <c r="AW2" s="84">
        <f t="shared" si="2"/>
        <v>4</v>
      </c>
      <c r="AX2" s="84">
        <f t="shared" si="2"/>
        <v>4</v>
      </c>
      <c r="AY2" s="84">
        <f t="shared" si="2"/>
        <v>4</v>
      </c>
      <c r="AZ2" s="84">
        <f t="shared" si="2"/>
        <v>5</v>
      </c>
      <c r="BA2" s="84">
        <f t="shared" si="2"/>
        <v>5</v>
      </c>
      <c r="BB2" s="84">
        <f t="shared" si="2"/>
        <v>5</v>
      </c>
      <c r="BC2" s="84">
        <f t="shared" si="2"/>
        <v>5</v>
      </c>
      <c r="BD2" s="84">
        <f t="shared" si="2"/>
        <v>5</v>
      </c>
      <c r="BE2" s="84">
        <f t="shared" si="2"/>
        <v>5</v>
      </c>
      <c r="BF2" s="84">
        <f t="shared" si="2"/>
        <v>5</v>
      </c>
      <c r="BG2" s="84">
        <f t="shared" si="2"/>
        <v>5</v>
      </c>
      <c r="BH2" s="84">
        <f t="shared" si="2"/>
        <v>5</v>
      </c>
      <c r="BI2" s="84">
        <f t="shared" si="2"/>
        <v>5</v>
      </c>
      <c r="BJ2" s="84">
        <f t="shared" si="2"/>
        <v>5</v>
      </c>
      <c r="BK2" s="84">
        <f t="shared" si="2"/>
        <v>5</v>
      </c>
      <c r="BL2" s="84">
        <f t="shared" si="2"/>
        <v>6</v>
      </c>
      <c r="BM2" s="84">
        <f t="shared" si="2"/>
        <v>6</v>
      </c>
      <c r="BN2" s="84">
        <f t="shared" si="2"/>
        <v>6</v>
      </c>
      <c r="BO2" s="84">
        <f t="shared" si="2"/>
        <v>6</v>
      </c>
      <c r="BP2" s="84">
        <f t="shared" si="2"/>
        <v>6</v>
      </c>
      <c r="BQ2" s="84">
        <f t="shared" si="2"/>
        <v>6</v>
      </c>
      <c r="BR2" s="84">
        <f t="shared" si="2"/>
        <v>6</v>
      </c>
      <c r="BS2" s="84">
        <f t="shared" si="2"/>
        <v>6</v>
      </c>
      <c r="BT2" s="84">
        <f t="shared" si="2"/>
        <v>6</v>
      </c>
      <c r="BU2" s="84">
        <f t="shared" si="2"/>
        <v>6</v>
      </c>
      <c r="BV2" s="84">
        <f t="shared" si="2"/>
        <v>6</v>
      </c>
      <c r="BW2" s="84">
        <f t="shared" si="2"/>
        <v>6</v>
      </c>
      <c r="BX2" s="84">
        <f t="shared" si="2"/>
        <v>7</v>
      </c>
      <c r="BY2" s="84">
        <f t="shared" si="2"/>
        <v>7</v>
      </c>
      <c r="BZ2" s="84">
        <f t="shared" si="2"/>
        <v>7</v>
      </c>
      <c r="CA2" s="84">
        <f t="shared" si="2"/>
        <v>7</v>
      </c>
      <c r="CB2" s="84">
        <f t="shared" si="2"/>
        <v>7</v>
      </c>
      <c r="CC2" s="84">
        <f t="shared" si="2"/>
        <v>7</v>
      </c>
      <c r="CD2" s="84">
        <f t="shared" si="2"/>
        <v>7</v>
      </c>
      <c r="CE2" s="84">
        <f t="shared" si="2"/>
        <v>7</v>
      </c>
      <c r="CF2" s="84">
        <f t="shared" si="2"/>
        <v>7</v>
      </c>
      <c r="CG2" s="84">
        <f t="shared" si="2"/>
        <v>7</v>
      </c>
      <c r="CH2" s="84">
        <f t="shared" si="2"/>
        <v>7</v>
      </c>
      <c r="CI2" s="84">
        <f t="shared" si="2"/>
        <v>7</v>
      </c>
      <c r="CJ2" s="84">
        <f t="shared" si="2"/>
        <v>8</v>
      </c>
      <c r="CK2" s="84">
        <f t="shared" si="2"/>
        <v>8</v>
      </c>
      <c r="CL2" s="84">
        <f t="shared" si="2"/>
        <v>8</v>
      </c>
      <c r="CM2" s="84">
        <f t="shared" si="2"/>
        <v>8</v>
      </c>
      <c r="CN2" s="84">
        <f t="shared" si="2"/>
        <v>8</v>
      </c>
      <c r="CO2" s="84">
        <f t="shared" si="2"/>
        <v>8</v>
      </c>
      <c r="CP2" s="84">
        <f t="shared" si="2"/>
        <v>8</v>
      </c>
      <c r="CQ2" s="84">
        <f t="shared" si="2"/>
        <v>8</v>
      </c>
      <c r="CR2" s="84">
        <f t="shared" si="2"/>
        <v>8</v>
      </c>
      <c r="CS2" s="84">
        <f t="shared" si="2"/>
        <v>8</v>
      </c>
      <c r="CT2" s="84">
        <f t="shared" si="2"/>
        <v>8</v>
      </c>
      <c r="CU2" s="84">
        <f t="shared" si="2"/>
        <v>8</v>
      </c>
      <c r="CV2" s="84">
        <f t="shared" si="2"/>
        <v>9</v>
      </c>
      <c r="CW2" s="84">
        <f t="shared" si="2"/>
        <v>9</v>
      </c>
      <c r="CX2" s="84">
        <f t="shared" si="2"/>
        <v>9</v>
      </c>
      <c r="CY2" s="84">
        <f t="shared" si="2"/>
        <v>9</v>
      </c>
      <c r="CZ2" s="84">
        <f t="shared" si="2"/>
        <v>9</v>
      </c>
      <c r="DA2" s="84">
        <f t="shared" si="2"/>
        <v>9</v>
      </c>
      <c r="DB2" s="84">
        <f t="shared" si="2"/>
        <v>9</v>
      </c>
      <c r="DC2" s="84">
        <f t="shared" si="2"/>
        <v>9</v>
      </c>
      <c r="DD2" s="84">
        <f t="shared" si="2"/>
        <v>9</v>
      </c>
      <c r="DE2" s="84">
        <f t="shared" si="2"/>
        <v>9</v>
      </c>
      <c r="DF2" s="84">
        <f t="shared" si="2"/>
        <v>9</v>
      </c>
      <c r="DG2" s="84">
        <f t="shared" si="2"/>
        <v>9</v>
      </c>
      <c r="DH2" s="84">
        <f t="shared" si="2"/>
        <v>10</v>
      </c>
      <c r="DI2" s="84">
        <f t="shared" si="2"/>
        <v>10</v>
      </c>
      <c r="DJ2" s="84">
        <f t="shared" si="2"/>
        <v>10</v>
      </c>
      <c r="DK2" s="84">
        <f t="shared" si="2"/>
        <v>10</v>
      </c>
      <c r="DL2" s="84">
        <f t="shared" si="2"/>
        <v>10</v>
      </c>
      <c r="DM2" s="84">
        <f t="shared" si="2"/>
        <v>10</v>
      </c>
      <c r="DN2" s="84">
        <f t="shared" si="2"/>
        <v>10</v>
      </c>
      <c r="DO2" s="84">
        <f t="shared" si="2"/>
        <v>10</v>
      </c>
      <c r="DP2" s="84">
        <f t="shared" si="2"/>
        <v>10</v>
      </c>
      <c r="DQ2" s="84">
        <f t="shared" si="2"/>
        <v>10</v>
      </c>
      <c r="DR2" s="84">
        <f t="shared" si="2"/>
        <v>10</v>
      </c>
      <c r="DS2" s="84">
        <f t="shared" si="2"/>
        <v>10</v>
      </c>
      <c r="DT2" s="84">
        <f t="shared" si="2"/>
        <v>11</v>
      </c>
      <c r="DU2" s="84">
        <f t="shared" si="2"/>
        <v>11</v>
      </c>
      <c r="DV2" s="84">
        <f t="shared" si="2"/>
        <v>11</v>
      </c>
      <c r="DW2" s="84">
        <f t="shared" si="2"/>
        <v>11</v>
      </c>
      <c r="DX2" s="84">
        <f t="shared" si="2"/>
        <v>11</v>
      </c>
      <c r="DY2" s="84">
        <f t="shared" si="2"/>
        <v>11</v>
      </c>
      <c r="DZ2" s="84">
        <f t="shared" si="2"/>
        <v>11</v>
      </c>
      <c r="EA2" s="302">
        <f t="shared" si="2"/>
        <v>11</v>
      </c>
      <c r="EB2" s="84">
        <f t="shared" si="2"/>
        <v>11</v>
      </c>
      <c r="EC2" s="84">
        <f t="shared" si="2"/>
        <v>11</v>
      </c>
      <c r="ED2" s="84">
        <f t="shared" si="2"/>
        <v>11</v>
      </c>
      <c r="EE2" s="303">
        <f t="shared" si="2"/>
        <v>11</v>
      </c>
    </row>
    <row r="3" ht="15.75" customHeight="1">
      <c r="A3" s="1"/>
      <c r="B3" s="1"/>
      <c r="C3" s="1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9" t="s">
        <v>193</v>
      </c>
      <c r="C4" s="1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Assumptions!Z5</f>
        <v>1x1</v>
      </c>
      <c r="D5" s="54">
        <f t="array" ref="D5">IF(D$2=1,Assumptions!$AF5/12,(SUMIF($D$2:$EE$2,D$2-1,$D5:$EE5)/12)*(1+XLOOKUP(D$2,Assumptions!$C$94:$M$94,Assumptions!$C$97:$M$97)))</f>
        <v>31836</v>
      </c>
      <c r="E5" s="54">
        <f t="array" ref="E5">IF(E$2=1,Assumptions!$AF5/12,(SUMIF($D$2:$EE$2,E$2-1,$D5:$EE5)/12)*(1+XLOOKUP(E$2,Assumptions!$C$94:$M$94,Assumptions!$C$97:$M$97)))</f>
        <v>31836</v>
      </c>
      <c r="F5" s="54">
        <f t="array" ref="F5">IF(F$2=1,Assumptions!$AF5/12,(SUMIF($D$2:$EE$2,F$2-1,$D5:$EE5)/12)*(1+XLOOKUP(F$2,Assumptions!$C$94:$M$94,Assumptions!$C$97:$M$97)))</f>
        <v>31836</v>
      </c>
      <c r="G5" s="54">
        <f t="array" ref="G5">IF(G$2=1,Assumptions!$AF5/12,(SUMIF($D$2:$EE$2,G$2-1,$D5:$EE5)/12)*(1+XLOOKUP(G$2,Assumptions!$C$94:$M$94,Assumptions!$C$97:$M$97)))</f>
        <v>31836</v>
      </c>
      <c r="H5" s="54">
        <f t="array" ref="H5">IF(H$2=1,Assumptions!$AF5/12,(SUMIF($D$2:$EE$2,H$2-1,$D5:$EE5)/12)*(1+XLOOKUP(H$2,Assumptions!$C$94:$M$94,Assumptions!$C$97:$M$97)))</f>
        <v>31836</v>
      </c>
      <c r="I5" s="54">
        <f t="array" ref="I5">IF(I$2=1,Assumptions!$AF5/12,(SUMIF($D$2:$EE$2,I$2-1,$D5:$EE5)/12)*(1+XLOOKUP(I$2,Assumptions!$C$94:$M$94,Assumptions!$C$97:$M$97)))</f>
        <v>31836</v>
      </c>
      <c r="J5" s="54">
        <f t="array" ref="J5">IF(J$2=1,Assumptions!$AF5/12,(SUMIF($D$2:$EE$2,J$2-1,$D5:$EE5)/12)*(1+XLOOKUP(J$2,Assumptions!$C$94:$M$94,Assumptions!$C$97:$M$97)))</f>
        <v>31836</v>
      </c>
      <c r="K5" s="54">
        <f t="array" ref="K5">IF(K$2=1,Assumptions!$AF5/12,(SUMIF($D$2:$EE$2,K$2-1,$D5:$EE5)/12)*(1+XLOOKUP(K$2,Assumptions!$C$94:$M$94,Assumptions!$C$97:$M$97)))</f>
        <v>31836</v>
      </c>
      <c r="L5" s="54">
        <f t="array" ref="L5">IF(L$2=1,Assumptions!$AF5/12,(SUMIF($D$2:$EE$2,L$2-1,$D5:$EE5)/12)*(1+XLOOKUP(L$2,Assumptions!$C$94:$M$94,Assumptions!$C$97:$M$97)))</f>
        <v>31836</v>
      </c>
      <c r="M5" s="54">
        <f t="array" ref="M5">IF(M$2=1,Assumptions!$AF5/12,(SUMIF($D$2:$EE$2,M$2-1,$D5:$EE5)/12)*(1+XLOOKUP(M$2,Assumptions!$C$94:$M$94,Assumptions!$C$97:$M$97)))</f>
        <v>31836</v>
      </c>
      <c r="N5" s="54">
        <f t="array" ref="N5">IF(N$2=1,Assumptions!$AF5/12,(SUMIF($D$2:$EE$2,N$2-1,$D5:$EE5)/12)*(1+XLOOKUP(N$2,Assumptions!$C$94:$M$94,Assumptions!$C$97:$M$97)))</f>
        <v>31836</v>
      </c>
      <c r="O5" s="54">
        <f t="array" ref="O5">IF(O$2=1,Assumptions!$AF5/12,(SUMIF($D$2:$EE$2,O$2-1,$D5:$EE5)/12)*(1+XLOOKUP(O$2,Assumptions!$C$94:$M$94,Assumptions!$C$97:$M$97)))</f>
        <v>31836</v>
      </c>
      <c r="P5" s="54">
        <f t="array" ref="P5">IF(P$2=1,Assumptions!$AF5/12,(SUMIF($D$2:$EE$2,P$2-1,$D5:$EE5)/12)*(1+XLOOKUP(P$2,Assumptions!$C$94:$M$94,Assumptions!$C$97:$M$97)))</f>
        <v>32791.08</v>
      </c>
      <c r="Q5" s="54">
        <f t="array" ref="Q5">IF(Q$2=1,Assumptions!$AF5/12,(SUMIF($D$2:$EE$2,Q$2-1,$D5:$EE5)/12)*(1+XLOOKUP(Q$2,Assumptions!$C$94:$M$94,Assumptions!$C$97:$M$97)))</f>
        <v>32791.08</v>
      </c>
      <c r="R5" s="54">
        <f t="array" ref="R5">IF(R$2=1,Assumptions!$AF5/12,(SUMIF($D$2:$EE$2,R$2-1,$D5:$EE5)/12)*(1+XLOOKUP(R$2,Assumptions!$C$94:$M$94,Assumptions!$C$97:$M$97)))</f>
        <v>32791.08</v>
      </c>
      <c r="S5" s="54">
        <f t="array" ref="S5">IF(S$2=1,Assumptions!$AF5/12,(SUMIF($D$2:$EE$2,S$2-1,$D5:$EE5)/12)*(1+XLOOKUP(S$2,Assumptions!$C$94:$M$94,Assumptions!$C$97:$M$97)))</f>
        <v>32791.08</v>
      </c>
      <c r="T5" s="54">
        <f t="array" ref="T5">IF(T$2=1,Assumptions!$AF5/12,(SUMIF($D$2:$EE$2,T$2-1,$D5:$EE5)/12)*(1+XLOOKUP(T$2,Assumptions!$C$94:$M$94,Assumptions!$C$97:$M$97)))</f>
        <v>32791.08</v>
      </c>
      <c r="U5" s="54">
        <f t="array" ref="U5">IF(U$2=1,Assumptions!$AF5/12,(SUMIF($D$2:$EE$2,U$2-1,$D5:$EE5)/12)*(1+XLOOKUP(U$2,Assumptions!$C$94:$M$94,Assumptions!$C$97:$M$97)))</f>
        <v>32791.08</v>
      </c>
      <c r="V5" s="54">
        <f t="array" ref="V5">IF(V$2=1,Assumptions!$AF5/12,(SUMIF($D$2:$EE$2,V$2-1,$D5:$EE5)/12)*(1+XLOOKUP(V$2,Assumptions!$C$94:$M$94,Assumptions!$C$97:$M$97)))</f>
        <v>32791.08</v>
      </c>
      <c r="W5" s="54">
        <f t="array" ref="W5">IF(W$2=1,Assumptions!$AF5/12,(SUMIF($D$2:$EE$2,W$2-1,$D5:$EE5)/12)*(1+XLOOKUP(W$2,Assumptions!$C$94:$M$94,Assumptions!$C$97:$M$97)))</f>
        <v>32791.08</v>
      </c>
      <c r="X5" s="54">
        <f t="array" ref="X5">IF(X$2=1,Assumptions!$AF5/12,(SUMIF($D$2:$EE$2,X$2-1,$D5:$EE5)/12)*(1+XLOOKUP(X$2,Assumptions!$C$94:$M$94,Assumptions!$C$97:$M$97)))</f>
        <v>32791.08</v>
      </c>
      <c r="Y5" s="54">
        <f t="array" ref="Y5">IF(Y$2=1,Assumptions!$AF5/12,(SUMIF($D$2:$EE$2,Y$2-1,$D5:$EE5)/12)*(1+XLOOKUP(Y$2,Assumptions!$C$94:$M$94,Assumptions!$C$97:$M$97)))</f>
        <v>32791.08</v>
      </c>
      <c r="Z5" s="54">
        <f t="array" ref="Z5">IF(Z$2=1,Assumptions!$AF5/12,(SUMIF($D$2:$EE$2,Z$2-1,$D5:$EE5)/12)*(1+XLOOKUP(Z$2,Assumptions!$C$94:$M$94,Assumptions!$C$97:$M$97)))</f>
        <v>32791.08</v>
      </c>
      <c r="AA5" s="54">
        <f t="array" ref="AA5">IF(AA$2=1,Assumptions!$AF5/12,(SUMIF($D$2:$EE$2,AA$2-1,$D5:$EE5)/12)*(1+XLOOKUP(AA$2,Assumptions!$C$94:$M$94,Assumptions!$C$97:$M$97)))</f>
        <v>32791.08</v>
      </c>
      <c r="AB5" s="54">
        <f t="array" ref="AB5">IF(AB$2=1,Assumptions!$AF5/12,(SUMIF($D$2:$EE$2,AB$2-1,$D5:$EE5)/12)*(1+XLOOKUP(AB$2,Assumptions!$C$94:$M$94,Assumptions!$C$97:$M$97)))</f>
        <v>33774.8124</v>
      </c>
      <c r="AC5" s="54">
        <f t="array" ref="AC5">IF(AC$2=1,Assumptions!$AF5/12,(SUMIF($D$2:$EE$2,AC$2-1,$D5:$EE5)/12)*(1+XLOOKUP(AC$2,Assumptions!$C$94:$M$94,Assumptions!$C$97:$M$97)))</f>
        <v>33774.8124</v>
      </c>
      <c r="AD5" s="54">
        <f t="array" ref="AD5">IF(AD$2=1,Assumptions!$AF5/12,(SUMIF($D$2:$EE$2,AD$2-1,$D5:$EE5)/12)*(1+XLOOKUP(AD$2,Assumptions!$C$94:$M$94,Assumptions!$C$97:$M$97)))</f>
        <v>33774.8124</v>
      </c>
      <c r="AE5" s="54">
        <f t="array" ref="AE5">IF(AE$2=1,Assumptions!$AF5/12,(SUMIF($D$2:$EE$2,AE$2-1,$D5:$EE5)/12)*(1+XLOOKUP(AE$2,Assumptions!$C$94:$M$94,Assumptions!$C$97:$M$97)))</f>
        <v>33774.8124</v>
      </c>
      <c r="AF5" s="54">
        <f t="array" ref="AF5">IF(AF$2=1,Assumptions!$AF5/12,(SUMIF($D$2:$EE$2,AF$2-1,$D5:$EE5)/12)*(1+XLOOKUP(AF$2,Assumptions!$C$94:$M$94,Assumptions!$C$97:$M$97)))</f>
        <v>33774.8124</v>
      </c>
      <c r="AG5" s="54">
        <f t="array" ref="AG5">IF(AG$2=1,Assumptions!$AF5/12,(SUMIF($D$2:$EE$2,AG$2-1,$D5:$EE5)/12)*(1+XLOOKUP(AG$2,Assumptions!$C$94:$M$94,Assumptions!$C$97:$M$97)))</f>
        <v>33774.8124</v>
      </c>
      <c r="AH5" s="54">
        <f t="array" ref="AH5">IF(AH$2=1,Assumptions!$AF5/12,(SUMIF($D$2:$EE$2,AH$2-1,$D5:$EE5)/12)*(1+XLOOKUP(AH$2,Assumptions!$C$94:$M$94,Assumptions!$C$97:$M$97)))</f>
        <v>33774.8124</v>
      </c>
      <c r="AI5" s="54">
        <f t="array" ref="AI5">IF(AI$2=1,Assumptions!$AF5/12,(SUMIF($D$2:$EE$2,AI$2-1,$D5:$EE5)/12)*(1+XLOOKUP(AI$2,Assumptions!$C$94:$M$94,Assumptions!$C$97:$M$97)))</f>
        <v>33774.8124</v>
      </c>
      <c r="AJ5" s="54">
        <f t="array" ref="AJ5">IF(AJ$2=1,Assumptions!$AF5/12,(SUMIF($D$2:$EE$2,AJ$2-1,$D5:$EE5)/12)*(1+XLOOKUP(AJ$2,Assumptions!$C$94:$M$94,Assumptions!$C$97:$M$97)))</f>
        <v>33774.8124</v>
      </c>
      <c r="AK5" s="54">
        <f t="array" ref="AK5">IF(AK$2=1,Assumptions!$AF5/12,(SUMIF($D$2:$EE$2,AK$2-1,$D5:$EE5)/12)*(1+XLOOKUP(AK$2,Assumptions!$C$94:$M$94,Assumptions!$C$97:$M$97)))</f>
        <v>33774.8124</v>
      </c>
      <c r="AL5" s="54">
        <f t="array" ref="AL5">IF(AL$2=1,Assumptions!$AF5/12,(SUMIF($D$2:$EE$2,AL$2-1,$D5:$EE5)/12)*(1+XLOOKUP(AL$2,Assumptions!$C$94:$M$94,Assumptions!$C$97:$M$97)))</f>
        <v>33774.8124</v>
      </c>
      <c r="AM5" s="54">
        <f t="array" ref="AM5">IF(AM$2=1,Assumptions!$AF5/12,(SUMIF($D$2:$EE$2,AM$2-1,$D5:$EE5)/12)*(1+XLOOKUP(AM$2,Assumptions!$C$94:$M$94,Assumptions!$C$97:$M$97)))</f>
        <v>33774.8124</v>
      </c>
      <c r="AN5" s="54">
        <f t="array" ref="AN5">IF(AN$2=1,Assumptions!$AF5/12,(SUMIF($D$2:$EE$2,AN$2-1,$D5:$EE5)/12)*(1+XLOOKUP(AN$2,Assumptions!$C$94:$M$94,Assumptions!$C$97:$M$97)))</f>
        <v>34788.05677</v>
      </c>
      <c r="AO5" s="54">
        <f t="array" ref="AO5">IF(AO$2=1,Assumptions!$AF5/12,(SUMIF($D$2:$EE$2,AO$2-1,$D5:$EE5)/12)*(1+XLOOKUP(AO$2,Assumptions!$C$94:$M$94,Assumptions!$C$97:$M$97)))</f>
        <v>34788.05677</v>
      </c>
      <c r="AP5" s="54">
        <f t="array" ref="AP5">IF(AP$2=1,Assumptions!$AF5/12,(SUMIF($D$2:$EE$2,AP$2-1,$D5:$EE5)/12)*(1+XLOOKUP(AP$2,Assumptions!$C$94:$M$94,Assumptions!$C$97:$M$97)))</f>
        <v>34788.05677</v>
      </c>
      <c r="AQ5" s="54">
        <f t="array" ref="AQ5">IF(AQ$2=1,Assumptions!$AF5/12,(SUMIF($D$2:$EE$2,AQ$2-1,$D5:$EE5)/12)*(1+XLOOKUP(AQ$2,Assumptions!$C$94:$M$94,Assumptions!$C$97:$M$97)))</f>
        <v>34788.05677</v>
      </c>
      <c r="AR5" s="54">
        <f t="array" ref="AR5">IF(AR$2=1,Assumptions!$AF5/12,(SUMIF($D$2:$EE$2,AR$2-1,$D5:$EE5)/12)*(1+XLOOKUP(AR$2,Assumptions!$C$94:$M$94,Assumptions!$C$97:$M$97)))</f>
        <v>34788.05677</v>
      </c>
      <c r="AS5" s="54">
        <f t="array" ref="AS5">IF(AS$2=1,Assumptions!$AF5/12,(SUMIF($D$2:$EE$2,AS$2-1,$D5:$EE5)/12)*(1+XLOOKUP(AS$2,Assumptions!$C$94:$M$94,Assumptions!$C$97:$M$97)))</f>
        <v>34788.05677</v>
      </c>
      <c r="AT5" s="54">
        <f t="array" ref="AT5">IF(AT$2=1,Assumptions!$AF5/12,(SUMIF($D$2:$EE$2,AT$2-1,$D5:$EE5)/12)*(1+XLOOKUP(AT$2,Assumptions!$C$94:$M$94,Assumptions!$C$97:$M$97)))</f>
        <v>34788.05677</v>
      </c>
      <c r="AU5" s="54">
        <f t="array" ref="AU5">IF(AU$2=1,Assumptions!$AF5/12,(SUMIF($D$2:$EE$2,AU$2-1,$D5:$EE5)/12)*(1+XLOOKUP(AU$2,Assumptions!$C$94:$M$94,Assumptions!$C$97:$M$97)))</f>
        <v>34788.05677</v>
      </c>
      <c r="AV5" s="54">
        <f t="array" ref="AV5">IF(AV$2=1,Assumptions!$AF5/12,(SUMIF($D$2:$EE$2,AV$2-1,$D5:$EE5)/12)*(1+XLOOKUP(AV$2,Assumptions!$C$94:$M$94,Assumptions!$C$97:$M$97)))</f>
        <v>34788.05677</v>
      </c>
      <c r="AW5" s="54">
        <f t="array" ref="AW5">IF(AW$2=1,Assumptions!$AF5/12,(SUMIF($D$2:$EE$2,AW$2-1,$D5:$EE5)/12)*(1+XLOOKUP(AW$2,Assumptions!$C$94:$M$94,Assumptions!$C$97:$M$97)))</f>
        <v>34788.05677</v>
      </c>
      <c r="AX5" s="54">
        <f t="array" ref="AX5">IF(AX$2=1,Assumptions!$AF5/12,(SUMIF($D$2:$EE$2,AX$2-1,$D5:$EE5)/12)*(1+XLOOKUP(AX$2,Assumptions!$C$94:$M$94,Assumptions!$C$97:$M$97)))</f>
        <v>34788.05677</v>
      </c>
      <c r="AY5" s="54">
        <f t="array" ref="AY5">IF(AY$2=1,Assumptions!$AF5/12,(SUMIF($D$2:$EE$2,AY$2-1,$D5:$EE5)/12)*(1+XLOOKUP(AY$2,Assumptions!$C$94:$M$94,Assumptions!$C$97:$M$97)))</f>
        <v>34788.05677</v>
      </c>
      <c r="AZ5" s="54">
        <f t="array" ref="AZ5">IF(AZ$2=1,Assumptions!$AF5/12,(SUMIF($D$2:$EE$2,AZ$2-1,$D5:$EE5)/12)*(1+XLOOKUP(AZ$2,Assumptions!$C$94:$M$94,Assumptions!$C$97:$M$97)))</f>
        <v>35831.69848</v>
      </c>
      <c r="BA5" s="54">
        <f t="array" ref="BA5">IF(BA$2=1,Assumptions!$AF5/12,(SUMIF($D$2:$EE$2,BA$2-1,$D5:$EE5)/12)*(1+XLOOKUP(BA$2,Assumptions!$C$94:$M$94,Assumptions!$C$97:$M$97)))</f>
        <v>35831.69848</v>
      </c>
      <c r="BB5" s="54">
        <f t="array" ref="BB5">IF(BB$2=1,Assumptions!$AF5/12,(SUMIF($D$2:$EE$2,BB$2-1,$D5:$EE5)/12)*(1+XLOOKUP(BB$2,Assumptions!$C$94:$M$94,Assumptions!$C$97:$M$97)))</f>
        <v>35831.69848</v>
      </c>
      <c r="BC5" s="54">
        <f t="array" ref="BC5">IF(BC$2=1,Assumptions!$AF5/12,(SUMIF($D$2:$EE$2,BC$2-1,$D5:$EE5)/12)*(1+XLOOKUP(BC$2,Assumptions!$C$94:$M$94,Assumptions!$C$97:$M$97)))</f>
        <v>35831.69848</v>
      </c>
      <c r="BD5" s="54">
        <f t="array" ref="BD5">IF(BD$2=1,Assumptions!$AF5/12,(SUMIF($D$2:$EE$2,BD$2-1,$D5:$EE5)/12)*(1+XLOOKUP(BD$2,Assumptions!$C$94:$M$94,Assumptions!$C$97:$M$97)))</f>
        <v>35831.69848</v>
      </c>
      <c r="BE5" s="54">
        <f t="array" ref="BE5">IF(BE$2=1,Assumptions!$AF5/12,(SUMIF($D$2:$EE$2,BE$2-1,$D5:$EE5)/12)*(1+XLOOKUP(BE$2,Assumptions!$C$94:$M$94,Assumptions!$C$97:$M$97)))</f>
        <v>35831.69848</v>
      </c>
      <c r="BF5" s="54">
        <f t="array" ref="BF5">IF(BF$2=1,Assumptions!$AF5/12,(SUMIF($D$2:$EE$2,BF$2-1,$D5:$EE5)/12)*(1+XLOOKUP(BF$2,Assumptions!$C$94:$M$94,Assumptions!$C$97:$M$97)))</f>
        <v>35831.69848</v>
      </c>
      <c r="BG5" s="54">
        <f t="array" ref="BG5">IF(BG$2=1,Assumptions!$AF5/12,(SUMIF($D$2:$EE$2,BG$2-1,$D5:$EE5)/12)*(1+XLOOKUP(BG$2,Assumptions!$C$94:$M$94,Assumptions!$C$97:$M$97)))</f>
        <v>35831.69848</v>
      </c>
      <c r="BH5" s="54">
        <f t="array" ref="BH5">IF(BH$2=1,Assumptions!$AF5/12,(SUMIF($D$2:$EE$2,BH$2-1,$D5:$EE5)/12)*(1+XLOOKUP(BH$2,Assumptions!$C$94:$M$94,Assumptions!$C$97:$M$97)))</f>
        <v>35831.69848</v>
      </c>
      <c r="BI5" s="54">
        <f t="array" ref="BI5">IF(BI$2=1,Assumptions!$AF5/12,(SUMIF($D$2:$EE$2,BI$2-1,$D5:$EE5)/12)*(1+XLOOKUP(BI$2,Assumptions!$C$94:$M$94,Assumptions!$C$97:$M$97)))</f>
        <v>35831.69848</v>
      </c>
      <c r="BJ5" s="54">
        <f t="array" ref="BJ5">IF(BJ$2=1,Assumptions!$AF5/12,(SUMIF($D$2:$EE$2,BJ$2-1,$D5:$EE5)/12)*(1+XLOOKUP(BJ$2,Assumptions!$C$94:$M$94,Assumptions!$C$97:$M$97)))</f>
        <v>35831.69848</v>
      </c>
      <c r="BK5" s="54">
        <f t="array" ref="BK5">IF(BK$2=1,Assumptions!$AF5/12,(SUMIF($D$2:$EE$2,BK$2-1,$D5:$EE5)/12)*(1+XLOOKUP(BK$2,Assumptions!$C$94:$M$94,Assumptions!$C$97:$M$97)))</f>
        <v>35831.69848</v>
      </c>
      <c r="BL5" s="54">
        <f t="array" ref="BL5">IF(BL$2=1,Assumptions!$AF5/12,(SUMIF($D$2:$EE$2,BL$2-1,$D5:$EE5)/12)*(1+XLOOKUP(BL$2,Assumptions!$C$94:$M$94,Assumptions!$C$97:$M$97)))</f>
        <v>36906.64943</v>
      </c>
      <c r="BM5" s="54">
        <f t="array" ref="BM5">IF(BM$2=1,Assumptions!$AF5/12,(SUMIF($D$2:$EE$2,BM$2-1,$D5:$EE5)/12)*(1+XLOOKUP(BM$2,Assumptions!$C$94:$M$94,Assumptions!$C$97:$M$97)))</f>
        <v>36906.64943</v>
      </c>
      <c r="BN5" s="54">
        <f t="array" ref="BN5">IF(BN$2=1,Assumptions!$AF5/12,(SUMIF($D$2:$EE$2,BN$2-1,$D5:$EE5)/12)*(1+XLOOKUP(BN$2,Assumptions!$C$94:$M$94,Assumptions!$C$97:$M$97)))</f>
        <v>36906.64943</v>
      </c>
      <c r="BO5" s="54">
        <f t="array" ref="BO5">IF(BO$2=1,Assumptions!$AF5/12,(SUMIF($D$2:$EE$2,BO$2-1,$D5:$EE5)/12)*(1+XLOOKUP(BO$2,Assumptions!$C$94:$M$94,Assumptions!$C$97:$M$97)))</f>
        <v>36906.64943</v>
      </c>
      <c r="BP5" s="54">
        <f t="array" ref="BP5">IF(BP$2=1,Assumptions!$AF5/12,(SUMIF($D$2:$EE$2,BP$2-1,$D5:$EE5)/12)*(1+XLOOKUP(BP$2,Assumptions!$C$94:$M$94,Assumptions!$C$97:$M$97)))</f>
        <v>36906.64943</v>
      </c>
      <c r="BQ5" s="54">
        <f t="array" ref="BQ5">IF(BQ$2=1,Assumptions!$AF5/12,(SUMIF($D$2:$EE$2,BQ$2-1,$D5:$EE5)/12)*(1+XLOOKUP(BQ$2,Assumptions!$C$94:$M$94,Assumptions!$C$97:$M$97)))</f>
        <v>36906.64943</v>
      </c>
      <c r="BR5" s="54">
        <f t="array" ref="BR5">IF(BR$2=1,Assumptions!$AF5/12,(SUMIF($D$2:$EE$2,BR$2-1,$D5:$EE5)/12)*(1+XLOOKUP(BR$2,Assumptions!$C$94:$M$94,Assumptions!$C$97:$M$97)))</f>
        <v>36906.64943</v>
      </c>
      <c r="BS5" s="54">
        <f t="array" ref="BS5">IF(BS$2=1,Assumptions!$AF5/12,(SUMIF($D$2:$EE$2,BS$2-1,$D5:$EE5)/12)*(1+XLOOKUP(BS$2,Assumptions!$C$94:$M$94,Assumptions!$C$97:$M$97)))</f>
        <v>36906.64943</v>
      </c>
      <c r="BT5" s="54">
        <f t="array" ref="BT5">IF(BT$2=1,Assumptions!$AF5/12,(SUMIF($D$2:$EE$2,BT$2-1,$D5:$EE5)/12)*(1+XLOOKUP(BT$2,Assumptions!$C$94:$M$94,Assumptions!$C$97:$M$97)))</f>
        <v>36906.64943</v>
      </c>
      <c r="BU5" s="54">
        <f t="array" ref="BU5">IF(BU$2=1,Assumptions!$AF5/12,(SUMIF($D$2:$EE$2,BU$2-1,$D5:$EE5)/12)*(1+XLOOKUP(BU$2,Assumptions!$C$94:$M$94,Assumptions!$C$97:$M$97)))</f>
        <v>36906.64943</v>
      </c>
      <c r="BV5" s="54">
        <f t="array" ref="BV5">IF(BV$2=1,Assumptions!$AF5/12,(SUMIF($D$2:$EE$2,BV$2-1,$D5:$EE5)/12)*(1+XLOOKUP(BV$2,Assumptions!$C$94:$M$94,Assumptions!$C$97:$M$97)))</f>
        <v>36906.64943</v>
      </c>
      <c r="BW5" s="54">
        <f t="array" ref="BW5">IF(BW$2=1,Assumptions!$AF5/12,(SUMIF($D$2:$EE$2,BW$2-1,$D5:$EE5)/12)*(1+XLOOKUP(BW$2,Assumptions!$C$94:$M$94,Assumptions!$C$97:$M$97)))</f>
        <v>36906.64943</v>
      </c>
      <c r="BX5" s="54">
        <f t="array" ref="BX5">IF(BX$2=1,Assumptions!$AF5/12,(SUMIF($D$2:$EE$2,BX$2-1,$D5:$EE5)/12)*(1+XLOOKUP(BX$2,Assumptions!$C$94:$M$94,Assumptions!$C$97:$M$97)))</f>
        <v>38013.84891</v>
      </c>
      <c r="BY5" s="54">
        <f t="array" ref="BY5">IF(BY$2=1,Assumptions!$AF5/12,(SUMIF($D$2:$EE$2,BY$2-1,$D5:$EE5)/12)*(1+XLOOKUP(BY$2,Assumptions!$C$94:$M$94,Assumptions!$C$97:$M$97)))</f>
        <v>38013.84891</v>
      </c>
      <c r="BZ5" s="54">
        <f t="array" ref="BZ5">IF(BZ$2=1,Assumptions!$AF5/12,(SUMIF($D$2:$EE$2,BZ$2-1,$D5:$EE5)/12)*(1+XLOOKUP(BZ$2,Assumptions!$C$94:$M$94,Assumptions!$C$97:$M$97)))</f>
        <v>38013.84891</v>
      </c>
      <c r="CA5" s="54">
        <f t="array" ref="CA5">IF(CA$2=1,Assumptions!$AF5/12,(SUMIF($D$2:$EE$2,CA$2-1,$D5:$EE5)/12)*(1+XLOOKUP(CA$2,Assumptions!$C$94:$M$94,Assumptions!$C$97:$M$97)))</f>
        <v>38013.84891</v>
      </c>
      <c r="CB5" s="54">
        <f t="array" ref="CB5">IF(CB$2=1,Assumptions!$AF5/12,(SUMIF($D$2:$EE$2,CB$2-1,$D5:$EE5)/12)*(1+XLOOKUP(CB$2,Assumptions!$C$94:$M$94,Assumptions!$C$97:$M$97)))</f>
        <v>38013.84891</v>
      </c>
      <c r="CC5" s="54">
        <f t="array" ref="CC5">IF(CC$2=1,Assumptions!$AF5/12,(SUMIF($D$2:$EE$2,CC$2-1,$D5:$EE5)/12)*(1+XLOOKUP(CC$2,Assumptions!$C$94:$M$94,Assumptions!$C$97:$M$97)))</f>
        <v>38013.84891</v>
      </c>
      <c r="CD5" s="54">
        <f t="array" ref="CD5">IF(CD$2=1,Assumptions!$AF5/12,(SUMIF($D$2:$EE$2,CD$2-1,$D5:$EE5)/12)*(1+XLOOKUP(CD$2,Assumptions!$C$94:$M$94,Assumptions!$C$97:$M$97)))</f>
        <v>38013.84891</v>
      </c>
      <c r="CE5" s="54">
        <f t="array" ref="CE5">IF(CE$2=1,Assumptions!$AF5/12,(SUMIF($D$2:$EE$2,CE$2-1,$D5:$EE5)/12)*(1+XLOOKUP(CE$2,Assumptions!$C$94:$M$94,Assumptions!$C$97:$M$97)))</f>
        <v>38013.84891</v>
      </c>
      <c r="CF5" s="54">
        <f t="array" ref="CF5">IF(CF$2=1,Assumptions!$AF5/12,(SUMIF($D$2:$EE$2,CF$2-1,$D5:$EE5)/12)*(1+XLOOKUP(CF$2,Assumptions!$C$94:$M$94,Assumptions!$C$97:$M$97)))</f>
        <v>38013.84891</v>
      </c>
      <c r="CG5" s="54">
        <f t="array" ref="CG5">IF(CG$2=1,Assumptions!$AF5/12,(SUMIF($D$2:$EE$2,CG$2-1,$D5:$EE5)/12)*(1+XLOOKUP(CG$2,Assumptions!$C$94:$M$94,Assumptions!$C$97:$M$97)))</f>
        <v>38013.84891</v>
      </c>
      <c r="CH5" s="54">
        <f t="array" ref="CH5">IF(CH$2=1,Assumptions!$AF5/12,(SUMIF($D$2:$EE$2,CH$2-1,$D5:$EE5)/12)*(1+XLOOKUP(CH$2,Assumptions!$C$94:$M$94,Assumptions!$C$97:$M$97)))</f>
        <v>38013.84891</v>
      </c>
      <c r="CI5" s="54">
        <f t="array" ref="CI5">IF(CI$2=1,Assumptions!$AF5/12,(SUMIF($D$2:$EE$2,CI$2-1,$D5:$EE5)/12)*(1+XLOOKUP(CI$2,Assumptions!$C$94:$M$94,Assumptions!$C$97:$M$97)))</f>
        <v>38013.84891</v>
      </c>
      <c r="CJ5" s="54">
        <f t="array" ref="CJ5">IF(CJ$2=1,Assumptions!$AF5/12,(SUMIF($D$2:$EE$2,CJ$2-1,$D5:$EE5)/12)*(1+XLOOKUP(CJ$2,Assumptions!$C$94:$M$94,Assumptions!$C$97:$M$97)))</f>
        <v>39154.26438</v>
      </c>
      <c r="CK5" s="54">
        <f t="array" ref="CK5">IF(CK$2=1,Assumptions!$AF5/12,(SUMIF($D$2:$EE$2,CK$2-1,$D5:$EE5)/12)*(1+XLOOKUP(CK$2,Assumptions!$C$94:$M$94,Assumptions!$C$97:$M$97)))</f>
        <v>39154.26438</v>
      </c>
      <c r="CL5" s="54">
        <f t="array" ref="CL5">IF(CL$2=1,Assumptions!$AF5/12,(SUMIF($D$2:$EE$2,CL$2-1,$D5:$EE5)/12)*(1+XLOOKUP(CL$2,Assumptions!$C$94:$M$94,Assumptions!$C$97:$M$97)))</f>
        <v>39154.26438</v>
      </c>
      <c r="CM5" s="54">
        <f t="array" ref="CM5">IF(CM$2=1,Assumptions!$AF5/12,(SUMIF($D$2:$EE$2,CM$2-1,$D5:$EE5)/12)*(1+XLOOKUP(CM$2,Assumptions!$C$94:$M$94,Assumptions!$C$97:$M$97)))</f>
        <v>39154.26438</v>
      </c>
      <c r="CN5" s="54">
        <f t="array" ref="CN5">IF(CN$2=1,Assumptions!$AF5/12,(SUMIF($D$2:$EE$2,CN$2-1,$D5:$EE5)/12)*(1+XLOOKUP(CN$2,Assumptions!$C$94:$M$94,Assumptions!$C$97:$M$97)))</f>
        <v>39154.26438</v>
      </c>
      <c r="CO5" s="54">
        <f t="array" ref="CO5">IF(CO$2=1,Assumptions!$AF5/12,(SUMIF($D$2:$EE$2,CO$2-1,$D5:$EE5)/12)*(1+XLOOKUP(CO$2,Assumptions!$C$94:$M$94,Assumptions!$C$97:$M$97)))</f>
        <v>39154.26438</v>
      </c>
      <c r="CP5" s="54">
        <f t="array" ref="CP5">IF(CP$2=1,Assumptions!$AF5/12,(SUMIF($D$2:$EE$2,CP$2-1,$D5:$EE5)/12)*(1+XLOOKUP(CP$2,Assumptions!$C$94:$M$94,Assumptions!$C$97:$M$97)))</f>
        <v>39154.26438</v>
      </c>
      <c r="CQ5" s="54">
        <f t="array" ref="CQ5">IF(CQ$2=1,Assumptions!$AF5/12,(SUMIF($D$2:$EE$2,CQ$2-1,$D5:$EE5)/12)*(1+XLOOKUP(CQ$2,Assumptions!$C$94:$M$94,Assumptions!$C$97:$M$97)))</f>
        <v>39154.26438</v>
      </c>
      <c r="CR5" s="54">
        <f t="array" ref="CR5">IF(CR$2=1,Assumptions!$AF5/12,(SUMIF($D$2:$EE$2,CR$2-1,$D5:$EE5)/12)*(1+XLOOKUP(CR$2,Assumptions!$C$94:$M$94,Assumptions!$C$97:$M$97)))</f>
        <v>39154.26438</v>
      </c>
      <c r="CS5" s="54">
        <f t="array" ref="CS5">IF(CS$2=1,Assumptions!$AF5/12,(SUMIF($D$2:$EE$2,CS$2-1,$D5:$EE5)/12)*(1+XLOOKUP(CS$2,Assumptions!$C$94:$M$94,Assumptions!$C$97:$M$97)))</f>
        <v>39154.26438</v>
      </c>
      <c r="CT5" s="54">
        <f t="array" ref="CT5">IF(CT$2=1,Assumptions!$AF5/12,(SUMIF($D$2:$EE$2,CT$2-1,$D5:$EE5)/12)*(1+XLOOKUP(CT$2,Assumptions!$C$94:$M$94,Assumptions!$C$97:$M$97)))</f>
        <v>39154.26438</v>
      </c>
      <c r="CU5" s="54">
        <f t="array" ref="CU5">IF(CU$2=1,Assumptions!$AF5/12,(SUMIF($D$2:$EE$2,CU$2-1,$D5:$EE5)/12)*(1+XLOOKUP(CU$2,Assumptions!$C$94:$M$94,Assumptions!$C$97:$M$97)))</f>
        <v>39154.26438</v>
      </c>
      <c r="CV5" s="54">
        <f t="array" ref="CV5">IF(CV$2=1,Assumptions!$AF5/12,(SUMIF($D$2:$EE$2,CV$2-1,$D5:$EE5)/12)*(1+XLOOKUP(CV$2,Assumptions!$C$94:$M$94,Assumptions!$C$97:$M$97)))</f>
        <v>40328.89231</v>
      </c>
      <c r="CW5" s="54">
        <f t="array" ref="CW5">IF(CW$2=1,Assumptions!$AF5/12,(SUMIF($D$2:$EE$2,CW$2-1,$D5:$EE5)/12)*(1+XLOOKUP(CW$2,Assumptions!$C$94:$M$94,Assumptions!$C$97:$M$97)))</f>
        <v>40328.89231</v>
      </c>
      <c r="CX5" s="54">
        <f t="array" ref="CX5">IF(CX$2=1,Assumptions!$AF5/12,(SUMIF($D$2:$EE$2,CX$2-1,$D5:$EE5)/12)*(1+XLOOKUP(CX$2,Assumptions!$C$94:$M$94,Assumptions!$C$97:$M$97)))</f>
        <v>40328.89231</v>
      </c>
      <c r="CY5" s="54">
        <f t="array" ref="CY5">IF(CY$2=1,Assumptions!$AF5/12,(SUMIF($D$2:$EE$2,CY$2-1,$D5:$EE5)/12)*(1+XLOOKUP(CY$2,Assumptions!$C$94:$M$94,Assumptions!$C$97:$M$97)))</f>
        <v>40328.89231</v>
      </c>
      <c r="CZ5" s="54">
        <f t="array" ref="CZ5">IF(CZ$2=1,Assumptions!$AF5/12,(SUMIF($D$2:$EE$2,CZ$2-1,$D5:$EE5)/12)*(1+XLOOKUP(CZ$2,Assumptions!$C$94:$M$94,Assumptions!$C$97:$M$97)))</f>
        <v>40328.89231</v>
      </c>
      <c r="DA5" s="54">
        <f t="array" ref="DA5">IF(DA$2=1,Assumptions!$AF5/12,(SUMIF($D$2:$EE$2,DA$2-1,$D5:$EE5)/12)*(1+XLOOKUP(DA$2,Assumptions!$C$94:$M$94,Assumptions!$C$97:$M$97)))</f>
        <v>40328.89231</v>
      </c>
      <c r="DB5" s="54">
        <f t="array" ref="DB5">IF(DB$2=1,Assumptions!$AF5/12,(SUMIF($D$2:$EE$2,DB$2-1,$D5:$EE5)/12)*(1+XLOOKUP(DB$2,Assumptions!$C$94:$M$94,Assumptions!$C$97:$M$97)))</f>
        <v>40328.89231</v>
      </c>
      <c r="DC5" s="54">
        <f t="array" ref="DC5">IF(DC$2=1,Assumptions!$AF5/12,(SUMIF($D$2:$EE$2,DC$2-1,$D5:$EE5)/12)*(1+XLOOKUP(DC$2,Assumptions!$C$94:$M$94,Assumptions!$C$97:$M$97)))</f>
        <v>40328.89231</v>
      </c>
      <c r="DD5" s="54">
        <f t="array" ref="DD5">IF(DD$2=1,Assumptions!$AF5/12,(SUMIF($D$2:$EE$2,DD$2-1,$D5:$EE5)/12)*(1+XLOOKUP(DD$2,Assumptions!$C$94:$M$94,Assumptions!$C$97:$M$97)))</f>
        <v>40328.89231</v>
      </c>
      <c r="DE5" s="54">
        <f t="array" ref="DE5">IF(DE$2=1,Assumptions!$AF5/12,(SUMIF($D$2:$EE$2,DE$2-1,$D5:$EE5)/12)*(1+XLOOKUP(DE$2,Assumptions!$C$94:$M$94,Assumptions!$C$97:$M$97)))</f>
        <v>40328.89231</v>
      </c>
      <c r="DF5" s="54">
        <f t="array" ref="DF5">IF(DF$2=1,Assumptions!$AF5/12,(SUMIF($D$2:$EE$2,DF$2-1,$D5:$EE5)/12)*(1+XLOOKUP(DF$2,Assumptions!$C$94:$M$94,Assumptions!$C$97:$M$97)))</f>
        <v>40328.89231</v>
      </c>
      <c r="DG5" s="54">
        <f t="array" ref="DG5">IF(DG$2=1,Assumptions!$AF5/12,(SUMIF($D$2:$EE$2,DG$2-1,$D5:$EE5)/12)*(1+XLOOKUP(DG$2,Assumptions!$C$94:$M$94,Assumptions!$C$97:$M$97)))</f>
        <v>40328.89231</v>
      </c>
      <c r="DH5" s="54">
        <f t="array" ref="DH5">IF(DH$2=1,Assumptions!$AF5/12,(SUMIF($D$2:$EE$2,DH$2-1,$D5:$EE5)/12)*(1+XLOOKUP(DH$2,Assumptions!$C$94:$M$94,Assumptions!$C$97:$M$97)))</f>
        <v>41538.75908</v>
      </c>
      <c r="DI5" s="54">
        <f t="array" ref="DI5">IF(DI$2=1,Assumptions!$AF5/12,(SUMIF($D$2:$EE$2,DI$2-1,$D5:$EE5)/12)*(1+XLOOKUP(DI$2,Assumptions!$C$94:$M$94,Assumptions!$C$97:$M$97)))</f>
        <v>41538.75908</v>
      </c>
      <c r="DJ5" s="54">
        <f t="array" ref="DJ5">IF(DJ$2=1,Assumptions!$AF5/12,(SUMIF($D$2:$EE$2,DJ$2-1,$D5:$EE5)/12)*(1+XLOOKUP(DJ$2,Assumptions!$C$94:$M$94,Assumptions!$C$97:$M$97)))</f>
        <v>41538.75908</v>
      </c>
      <c r="DK5" s="54">
        <f t="array" ref="DK5">IF(DK$2=1,Assumptions!$AF5/12,(SUMIF($D$2:$EE$2,DK$2-1,$D5:$EE5)/12)*(1+XLOOKUP(DK$2,Assumptions!$C$94:$M$94,Assumptions!$C$97:$M$97)))</f>
        <v>41538.75908</v>
      </c>
      <c r="DL5" s="54">
        <f t="array" ref="DL5">IF(DL$2=1,Assumptions!$AF5/12,(SUMIF($D$2:$EE$2,DL$2-1,$D5:$EE5)/12)*(1+XLOOKUP(DL$2,Assumptions!$C$94:$M$94,Assumptions!$C$97:$M$97)))</f>
        <v>41538.75908</v>
      </c>
      <c r="DM5" s="54">
        <f t="array" ref="DM5">IF(DM$2=1,Assumptions!$AF5/12,(SUMIF($D$2:$EE$2,DM$2-1,$D5:$EE5)/12)*(1+XLOOKUP(DM$2,Assumptions!$C$94:$M$94,Assumptions!$C$97:$M$97)))</f>
        <v>41538.75908</v>
      </c>
      <c r="DN5" s="54">
        <f t="array" ref="DN5">IF(DN$2=1,Assumptions!$AF5/12,(SUMIF($D$2:$EE$2,DN$2-1,$D5:$EE5)/12)*(1+XLOOKUP(DN$2,Assumptions!$C$94:$M$94,Assumptions!$C$97:$M$97)))</f>
        <v>41538.75908</v>
      </c>
      <c r="DO5" s="54">
        <f t="array" ref="DO5">IF(DO$2=1,Assumptions!$AF5/12,(SUMIF($D$2:$EE$2,DO$2-1,$D5:$EE5)/12)*(1+XLOOKUP(DO$2,Assumptions!$C$94:$M$94,Assumptions!$C$97:$M$97)))</f>
        <v>41538.75908</v>
      </c>
      <c r="DP5" s="54">
        <f t="array" ref="DP5">IF(DP$2=1,Assumptions!$AF5/12,(SUMIF($D$2:$EE$2,DP$2-1,$D5:$EE5)/12)*(1+XLOOKUP(DP$2,Assumptions!$C$94:$M$94,Assumptions!$C$97:$M$97)))</f>
        <v>41538.75908</v>
      </c>
      <c r="DQ5" s="54">
        <f t="array" ref="DQ5">IF(DQ$2=1,Assumptions!$AF5/12,(SUMIF($D$2:$EE$2,DQ$2-1,$D5:$EE5)/12)*(1+XLOOKUP(DQ$2,Assumptions!$C$94:$M$94,Assumptions!$C$97:$M$97)))</f>
        <v>41538.75908</v>
      </c>
      <c r="DR5" s="54">
        <f t="array" ref="DR5">IF(DR$2=1,Assumptions!$AF5/12,(SUMIF($D$2:$EE$2,DR$2-1,$D5:$EE5)/12)*(1+XLOOKUP(DR$2,Assumptions!$C$94:$M$94,Assumptions!$C$97:$M$97)))</f>
        <v>41538.75908</v>
      </c>
      <c r="DS5" s="54">
        <f t="array" ref="DS5">IF(DS$2=1,Assumptions!$AF5/12,(SUMIF($D$2:$EE$2,DS$2-1,$D5:$EE5)/12)*(1+XLOOKUP(DS$2,Assumptions!$C$94:$M$94,Assumptions!$C$97:$M$97)))</f>
        <v>41538.75908</v>
      </c>
      <c r="DT5" s="54">
        <f t="array" ref="DT5">IF(DT$2=1,Assumptions!$AF5/12,(SUMIF($D$2:$EE$2,DT$2-1,$D5:$EE5)/12)*(1+XLOOKUP(DT$2,Assumptions!$C$94:$M$94,Assumptions!$C$97:$M$97)))</f>
        <v>42784.92185</v>
      </c>
      <c r="DU5" s="54">
        <f t="array" ref="DU5">IF(DU$2=1,Assumptions!$AF5/12,(SUMIF($D$2:$EE$2,DU$2-1,$D5:$EE5)/12)*(1+XLOOKUP(DU$2,Assumptions!$C$94:$M$94,Assumptions!$C$97:$M$97)))</f>
        <v>42784.92185</v>
      </c>
      <c r="DV5" s="54">
        <f t="array" ref="DV5">IF(DV$2=1,Assumptions!$AF5/12,(SUMIF($D$2:$EE$2,DV$2-1,$D5:$EE5)/12)*(1+XLOOKUP(DV$2,Assumptions!$C$94:$M$94,Assumptions!$C$97:$M$97)))</f>
        <v>42784.92185</v>
      </c>
      <c r="DW5" s="54">
        <f t="array" ref="DW5">IF(DW$2=1,Assumptions!$AF5/12,(SUMIF($D$2:$EE$2,DW$2-1,$D5:$EE5)/12)*(1+XLOOKUP(DW$2,Assumptions!$C$94:$M$94,Assumptions!$C$97:$M$97)))</f>
        <v>42784.92185</v>
      </c>
      <c r="DX5" s="54">
        <f t="array" ref="DX5">IF(DX$2=1,Assumptions!$AF5/12,(SUMIF($D$2:$EE$2,DX$2-1,$D5:$EE5)/12)*(1+XLOOKUP(DX$2,Assumptions!$C$94:$M$94,Assumptions!$C$97:$M$97)))</f>
        <v>42784.92185</v>
      </c>
      <c r="DY5" s="54">
        <f t="array" ref="DY5">IF(DY$2=1,Assumptions!$AF5/12,(SUMIF($D$2:$EE$2,DY$2-1,$D5:$EE5)/12)*(1+XLOOKUP(DY$2,Assumptions!$C$94:$M$94,Assumptions!$C$97:$M$97)))</f>
        <v>42784.92185</v>
      </c>
      <c r="DZ5" s="54">
        <f t="array" ref="DZ5">IF(DZ$2=1,Assumptions!$AF5/12,(SUMIF($D$2:$EE$2,DZ$2-1,$D5:$EE5)/12)*(1+XLOOKUP(DZ$2,Assumptions!$C$94:$M$94,Assumptions!$C$97:$M$97)))</f>
        <v>42784.92185</v>
      </c>
      <c r="EA5" s="54">
        <f t="array" ref="EA5">IF(EA$2=1,Assumptions!$AF5/12,(SUMIF($D$2:$EE$2,EA$2-1,$D5:$EE5)/12)*(1+XLOOKUP(EA$2,Assumptions!$C$94:$M$94,Assumptions!$C$97:$M$97)))</f>
        <v>42784.92185</v>
      </c>
      <c r="EB5" s="54">
        <f t="array" ref="EB5">IF(EB$2=1,Assumptions!$AF5/12,(SUMIF($D$2:$EE$2,EB$2-1,$D5:$EE5)/12)*(1+XLOOKUP(EB$2,Assumptions!$C$94:$M$94,Assumptions!$C$97:$M$97)))</f>
        <v>42784.92185</v>
      </c>
      <c r="EC5" s="54">
        <f t="array" ref="EC5">IF(EC$2=1,Assumptions!$AF5/12,(SUMIF($D$2:$EE$2,EC$2-1,$D5:$EE5)/12)*(1+XLOOKUP(EC$2,Assumptions!$C$94:$M$94,Assumptions!$C$97:$M$97)))</f>
        <v>42784.92185</v>
      </c>
      <c r="ED5" s="54">
        <f t="array" ref="ED5">IF(ED$2=1,Assumptions!$AF5/12,(SUMIF($D$2:$EE$2,ED$2-1,$D5:$EE5)/12)*(1+XLOOKUP(ED$2,Assumptions!$C$94:$M$94,Assumptions!$C$97:$M$97)))</f>
        <v>42784.92185</v>
      </c>
      <c r="EE5" s="54">
        <f t="array" ref="EE5">IF(EE$2=1,Assumptions!$AF5/12,(SUMIF($D$2:$EE$2,EE$2-1,$D5:$EE5)/12)*(1+XLOOKUP(EE$2,Assumptions!$C$94:$M$94,Assumptions!$C$97:$M$97)))</f>
        <v>42784.92185</v>
      </c>
    </row>
    <row r="6" ht="15.75" customHeight="1">
      <c r="A6" s="1"/>
      <c r="B6" s="1"/>
      <c r="C6" s="1" t="str">
        <f>Assumptions!Z6</f>
        <v>2x1</v>
      </c>
      <c r="D6" s="54">
        <f t="array" ref="D6">IF(D$2=1,Assumptions!$AF6/12,(SUMIF($D$2:$EE$2,D$2-1,$D6:$EE6)/12)*(1+XLOOKUP(D$2,Assumptions!$C$94:$M$94,Assumptions!$C$97:$M$97)))</f>
        <v>28089.6</v>
      </c>
      <c r="E6" s="54">
        <f t="array" ref="E6">IF(E$2=1,Assumptions!$AF6/12,(SUMIF($D$2:$EE$2,E$2-1,$D6:$EE6)/12)*(1+XLOOKUP(E$2,Assumptions!$C$94:$M$94,Assumptions!$C$97:$M$97)))</f>
        <v>28089.6</v>
      </c>
      <c r="F6" s="54">
        <f t="array" ref="F6">IF(F$2=1,Assumptions!$AF6/12,(SUMIF($D$2:$EE$2,F$2-1,$D6:$EE6)/12)*(1+XLOOKUP(F$2,Assumptions!$C$94:$M$94,Assumptions!$C$97:$M$97)))</f>
        <v>28089.6</v>
      </c>
      <c r="G6" s="54">
        <f t="array" ref="G6">IF(G$2=1,Assumptions!$AF6/12,(SUMIF($D$2:$EE$2,G$2-1,$D6:$EE6)/12)*(1+XLOOKUP(G$2,Assumptions!$C$94:$M$94,Assumptions!$C$97:$M$97)))</f>
        <v>28089.6</v>
      </c>
      <c r="H6" s="54">
        <f t="array" ref="H6">IF(H$2=1,Assumptions!$AF6/12,(SUMIF($D$2:$EE$2,H$2-1,$D6:$EE6)/12)*(1+XLOOKUP(H$2,Assumptions!$C$94:$M$94,Assumptions!$C$97:$M$97)))</f>
        <v>28089.6</v>
      </c>
      <c r="I6" s="54">
        <f t="array" ref="I6">IF(I$2=1,Assumptions!$AF6/12,(SUMIF($D$2:$EE$2,I$2-1,$D6:$EE6)/12)*(1+XLOOKUP(I$2,Assumptions!$C$94:$M$94,Assumptions!$C$97:$M$97)))</f>
        <v>28089.6</v>
      </c>
      <c r="J6" s="54">
        <f t="array" ref="J6">IF(J$2=1,Assumptions!$AF6/12,(SUMIF($D$2:$EE$2,J$2-1,$D6:$EE6)/12)*(1+XLOOKUP(J$2,Assumptions!$C$94:$M$94,Assumptions!$C$97:$M$97)))</f>
        <v>28089.6</v>
      </c>
      <c r="K6" s="54">
        <f t="array" ref="K6">IF(K$2=1,Assumptions!$AF6/12,(SUMIF($D$2:$EE$2,K$2-1,$D6:$EE6)/12)*(1+XLOOKUP(K$2,Assumptions!$C$94:$M$94,Assumptions!$C$97:$M$97)))</f>
        <v>28089.6</v>
      </c>
      <c r="L6" s="54">
        <f t="array" ref="L6">IF(L$2=1,Assumptions!$AF6/12,(SUMIF($D$2:$EE$2,L$2-1,$D6:$EE6)/12)*(1+XLOOKUP(L$2,Assumptions!$C$94:$M$94,Assumptions!$C$97:$M$97)))</f>
        <v>28089.6</v>
      </c>
      <c r="M6" s="54">
        <f t="array" ref="M6">IF(M$2=1,Assumptions!$AF6/12,(SUMIF($D$2:$EE$2,M$2-1,$D6:$EE6)/12)*(1+XLOOKUP(M$2,Assumptions!$C$94:$M$94,Assumptions!$C$97:$M$97)))</f>
        <v>28089.6</v>
      </c>
      <c r="N6" s="54">
        <f t="array" ref="N6">IF(N$2=1,Assumptions!$AF6/12,(SUMIF($D$2:$EE$2,N$2-1,$D6:$EE6)/12)*(1+XLOOKUP(N$2,Assumptions!$C$94:$M$94,Assumptions!$C$97:$M$97)))</f>
        <v>28089.6</v>
      </c>
      <c r="O6" s="54">
        <f t="array" ref="O6">IF(O$2=1,Assumptions!$AF6/12,(SUMIF($D$2:$EE$2,O$2-1,$D6:$EE6)/12)*(1+XLOOKUP(O$2,Assumptions!$C$94:$M$94,Assumptions!$C$97:$M$97)))</f>
        <v>28089.6</v>
      </c>
      <c r="P6" s="54">
        <f t="array" ref="P6">IF(P$2=1,Assumptions!$AF6/12,(SUMIF($D$2:$EE$2,P$2-1,$D6:$EE6)/12)*(1+XLOOKUP(P$2,Assumptions!$C$94:$M$94,Assumptions!$C$97:$M$97)))</f>
        <v>28932.288</v>
      </c>
      <c r="Q6" s="54">
        <f t="array" ref="Q6">IF(Q$2=1,Assumptions!$AF6/12,(SUMIF($D$2:$EE$2,Q$2-1,$D6:$EE6)/12)*(1+XLOOKUP(Q$2,Assumptions!$C$94:$M$94,Assumptions!$C$97:$M$97)))</f>
        <v>28932.288</v>
      </c>
      <c r="R6" s="54">
        <f t="array" ref="R6">IF(R$2=1,Assumptions!$AF6/12,(SUMIF($D$2:$EE$2,R$2-1,$D6:$EE6)/12)*(1+XLOOKUP(R$2,Assumptions!$C$94:$M$94,Assumptions!$C$97:$M$97)))</f>
        <v>28932.288</v>
      </c>
      <c r="S6" s="54">
        <f t="array" ref="S6">IF(S$2=1,Assumptions!$AF6/12,(SUMIF($D$2:$EE$2,S$2-1,$D6:$EE6)/12)*(1+XLOOKUP(S$2,Assumptions!$C$94:$M$94,Assumptions!$C$97:$M$97)))</f>
        <v>28932.288</v>
      </c>
      <c r="T6" s="54">
        <f t="array" ref="T6">IF(T$2=1,Assumptions!$AF6/12,(SUMIF($D$2:$EE$2,T$2-1,$D6:$EE6)/12)*(1+XLOOKUP(T$2,Assumptions!$C$94:$M$94,Assumptions!$C$97:$M$97)))</f>
        <v>28932.288</v>
      </c>
      <c r="U6" s="54">
        <f t="array" ref="U6">IF(U$2=1,Assumptions!$AF6/12,(SUMIF($D$2:$EE$2,U$2-1,$D6:$EE6)/12)*(1+XLOOKUP(U$2,Assumptions!$C$94:$M$94,Assumptions!$C$97:$M$97)))</f>
        <v>28932.288</v>
      </c>
      <c r="V6" s="54">
        <f t="array" ref="V6">IF(V$2=1,Assumptions!$AF6/12,(SUMIF($D$2:$EE$2,V$2-1,$D6:$EE6)/12)*(1+XLOOKUP(V$2,Assumptions!$C$94:$M$94,Assumptions!$C$97:$M$97)))</f>
        <v>28932.288</v>
      </c>
      <c r="W6" s="54">
        <f t="array" ref="W6">IF(W$2=1,Assumptions!$AF6/12,(SUMIF($D$2:$EE$2,W$2-1,$D6:$EE6)/12)*(1+XLOOKUP(W$2,Assumptions!$C$94:$M$94,Assumptions!$C$97:$M$97)))</f>
        <v>28932.288</v>
      </c>
      <c r="X6" s="54">
        <f t="array" ref="X6">IF(X$2=1,Assumptions!$AF6/12,(SUMIF($D$2:$EE$2,X$2-1,$D6:$EE6)/12)*(1+XLOOKUP(X$2,Assumptions!$C$94:$M$94,Assumptions!$C$97:$M$97)))</f>
        <v>28932.288</v>
      </c>
      <c r="Y6" s="54">
        <f t="array" ref="Y6">IF(Y$2=1,Assumptions!$AF6/12,(SUMIF($D$2:$EE$2,Y$2-1,$D6:$EE6)/12)*(1+XLOOKUP(Y$2,Assumptions!$C$94:$M$94,Assumptions!$C$97:$M$97)))</f>
        <v>28932.288</v>
      </c>
      <c r="Z6" s="54">
        <f t="array" ref="Z6">IF(Z$2=1,Assumptions!$AF6/12,(SUMIF($D$2:$EE$2,Z$2-1,$D6:$EE6)/12)*(1+XLOOKUP(Z$2,Assumptions!$C$94:$M$94,Assumptions!$C$97:$M$97)))</f>
        <v>28932.288</v>
      </c>
      <c r="AA6" s="54">
        <f t="array" ref="AA6">IF(AA$2=1,Assumptions!$AF6/12,(SUMIF($D$2:$EE$2,AA$2-1,$D6:$EE6)/12)*(1+XLOOKUP(AA$2,Assumptions!$C$94:$M$94,Assumptions!$C$97:$M$97)))</f>
        <v>28932.288</v>
      </c>
      <c r="AB6" s="54">
        <f t="array" ref="AB6">IF(AB$2=1,Assumptions!$AF6/12,(SUMIF($D$2:$EE$2,AB$2-1,$D6:$EE6)/12)*(1+XLOOKUP(AB$2,Assumptions!$C$94:$M$94,Assumptions!$C$97:$M$97)))</f>
        <v>29800.25664</v>
      </c>
      <c r="AC6" s="54">
        <f t="array" ref="AC6">IF(AC$2=1,Assumptions!$AF6/12,(SUMIF($D$2:$EE$2,AC$2-1,$D6:$EE6)/12)*(1+XLOOKUP(AC$2,Assumptions!$C$94:$M$94,Assumptions!$C$97:$M$97)))</f>
        <v>29800.25664</v>
      </c>
      <c r="AD6" s="54">
        <f t="array" ref="AD6">IF(AD$2=1,Assumptions!$AF6/12,(SUMIF($D$2:$EE$2,AD$2-1,$D6:$EE6)/12)*(1+XLOOKUP(AD$2,Assumptions!$C$94:$M$94,Assumptions!$C$97:$M$97)))</f>
        <v>29800.25664</v>
      </c>
      <c r="AE6" s="54">
        <f t="array" ref="AE6">IF(AE$2=1,Assumptions!$AF6/12,(SUMIF($D$2:$EE$2,AE$2-1,$D6:$EE6)/12)*(1+XLOOKUP(AE$2,Assumptions!$C$94:$M$94,Assumptions!$C$97:$M$97)))</f>
        <v>29800.25664</v>
      </c>
      <c r="AF6" s="54">
        <f t="array" ref="AF6">IF(AF$2=1,Assumptions!$AF6/12,(SUMIF($D$2:$EE$2,AF$2-1,$D6:$EE6)/12)*(1+XLOOKUP(AF$2,Assumptions!$C$94:$M$94,Assumptions!$C$97:$M$97)))</f>
        <v>29800.25664</v>
      </c>
      <c r="AG6" s="54">
        <f t="array" ref="AG6">IF(AG$2=1,Assumptions!$AF6/12,(SUMIF($D$2:$EE$2,AG$2-1,$D6:$EE6)/12)*(1+XLOOKUP(AG$2,Assumptions!$C$94:$M$94,Assumptions!$C$97:$M$97)))</f>
        <v>29800.25664</v>
      </c>
      <c r="AH6" s="54">
        <f t="array" ref="AH6">IF(AH$2=1,Assumptions!$AF6/12,(SUMIF($D$2:$EE$2,AH$2-1,$D6:$EE6)/12)*(1+XLOOKUP(AH$2,Assumptions!$C$94:$M$94,Assumptions!$C$97:$M$97)))</f>
        <v>29800.25664</v>
      </c>
      <c r="AI6" s="54">
        <f t="array" ref="AI6">IF(AI$2=1,Assumptions!$AF6/12,(SUMIF($D$2:$EE$2,AI$2-1,$D6:$EE6)/12)*(1+XLOOKUP(AI$2,Assumptions!$C$94:$M$94,Assumptions!$C$97:$M$97)))</f>
        <v>29800.25664</v>
      </c>
      <c r="AJ6" s="54">
        <f t="array" ref="AJ6">IF(AJ$2=1,Assumptions!$AF6/12,(SUMIF($D$2:$EE$2,AJ$2-1,$D6:$EE6)/12)*(1+XLOOKUP(AJ$2,Assumptions!$C$94:$M$94,Assumptions!$C$97:$M$97)))</f>
        <v>29800.25664</v>
      </c>
      <c r="AK6" s="54">
        <f t="array" ref="AK6">IF(AK$2=1,Assumptions!$AF6/12,(SUMIF($D$2:$EE$2,AK$2-1,$D6:$EE6)/12)*(1+XLOOKUP(AK$2,Assumptions!$C$94:$M$94,Assumptions!$C$97:$M$97)))</f>
        <v>29800.25664</v>
      </c>
      <c r="AL6" s="54">
        <f t="array" ref="AL6">IF(AL$2=1,Assumptions!$AF6/12,(SUMIF($D$2:$EE$2,AL$2-1,$D6:$EE6)/12)*(1+XLOOKUP(AL$2,Assumptions!$C$94:$M$94,Assumptions!$C$97:$M$97)))</f>
        <v>29800.25664</v>
      </c>
      <c r="AM6" s="54">
        <f t="array" ref="AM6">IF(AM$2=1,Assumptions!$AF6/12,(SUMIF($D$2:$EE$2,AM$2-1,$D6:$EE6)/12)*(1+XLOOKUP(AM$2,Assumptions!$C$94:$M$94,Assumptions!$C$97:$M$97)))</f>
        <v>29800.25664</v>
      </c>
      <c r="AN6" s="54">
        <f t="array" ref="AN6">IF(AN$2=1,Assumptions!$AF6/12,(SUMIF($D$2:$EE$2,AN$2-1,$D6:$EE6)/12)*(1+XLOOKUP(AN$2,Assumptions!$C$94:$M$94,Assumptions!$C$97:$M$97)))</f>
        <v>30694.26434</v>
      </c>
      <c r="AO6" s="54">
        <f t="array" ref="AO6">IF(AO$2=1,Assumptions!$AF6/12,(SUMIF($D$2:$EE$2,AO$2-1,$D6:$EE6)/12)*(1+XLOOKUP(AO$2,Assumptions!$C$94:$M$94,Assumptions!$C$97:$M$97)))</f>
        <v>30694.26434</v>
      </c>
      <c r="AP6" s="54">
        <f t="array" ref="AP6">IF(AP$2=1,Assumptions!$AF6/12,(SUMIF($D$2:$EE$2,AP$2-1,$D6:$EE6)/12)*(1+XLOOKUP(AP$2,Assumptions!$C$94:$M$94,Assumptions!$C$97:$M$97)))</f>
        <v>30694.26434</v>
      </c>
      <c r="AQ6" s="54">
        <f t="array" ref="AQ6">IF(AQ$2=1,Assumptions!$AF6/12,(SUMIF($D$2:$EE$2,AQ$2-1,$D6:$EE6)/12)*(1+XLOOKUP(AQ$2,Assumptions!$C$94:$M$94,Assumptions!$C$97:$M$97)))</f>
        <v>30694.26434</v>
      </c>
      <c r="AR6" s="54">
        <f t="array" ref="AR6">IF(AR$2=1,Assumptions!$AF6/12,(SUMIF($D$2:$EE$2,AR$2-1,$D6:$EE6)/12)*(1+XLOOKUP(AR$2,Assumptions!$C$94:$M$94,Assumptions!$C$97:$M$97)))</f>
        <v>30694.26434</v>
      </c>
      <c r="AS6" s="54">
        <f t="array" ref="AS6">IF(AS$2=1,Assumptions!$AF6/12,(SUMIF($D$2:$EE$2,AS$2-1,$D6:$EE6)/12)*(1+XLOOKUP(AS$2,Assumptions!$C$94:$M$94,Assumptions!$C$97:$M$97)))</f>
        <v>30694.26434</v>
      </c>
      <c r="AT6" s="54">
        <f t="array" ref="AT6">IF(AT$2=1,Assumptions!$AF6/12,(SUMIF($D$2:$EE$2,AT$2-1,$D6:$EE6)/12)*(1+XLOOKUP(AT$2,Assumptions!$C$94:$M$94,Assumptions!$C$97:$M$97)))</f>
        <v>30694.26434</v>
      </c>
      <c r="AU6" s="54">
        <f t="array" ref="AU6">IF(AU$2=1,Assumptions!$AF6/12,(SUMIF($D$2:$EE$2,AU$2-1,$D6:$EE6)/12)*(1+XLOOKUP(AU$2,Assumptions!$C$94:$M$94,Assumptions!$C$97:$M$97)))</f>
        <v>30694.26434</v>
      </c>
      <c r="AV6" s="54">
        <f t="array" ref="AV6">IF(AV$2=1,Assumptions!$AF6/12,(SUMIF($D$2:$EE$2,AV$2-1,$D6:$EE6)/12)*(1+XLOOKUP(AV$2,Assumptions!$C$94:$M$94,Assumptions!$C$97:$M$97)))</f>
        <v>30694.26434</v>
      </c>
      <c r="AW6" s="54">
        <f t="array" ref="AW6">IF(AW$2=1,Assumptions!$AF6/12,(SUMIF($D$2:$EE$2,AW$2-1,$D6:$EE6)/12)*(1+XLOOKUP(AW$2,Assumptions!$C$94:$M$94,Assumptions!$C$97:$M$97)))</f>
        <v>30694.26434</v>
      </c>
      <c r="AX6" s="54">
        <f t="array" ref="AX6">IF(AX$2=1,Assumptions!$AF6/12,(SUMIF($D$2:$EE$2,AX$2-1,$D6:$EE6)/12)*(1+XLOOKUP(AX$2,Assumptions!$C$94:$M$94,Assumptions!$C$97:$M$97)))</f>
        <v>30694.26434</v>
      </c>
      <c r="AY6" s="54">
        <f t="array" ref="AY6">IF(AY$2=1,Assumptions!$AF6/12,(SUMIF($D$2:$EE$2,AY$2-1,$D6:$EE6)/12)*(1+XLOOKUP(AY$2,Assumptions!$C$94:$M$94,Assumptions!$C$97:$M$97)))</f>
        <v>30694.26434</v>
      </c>
      <c r="AZ6" s="54">
        <f t="array" ref="AZ6">IF(AZ$2=1,Assumptions!$AF6/12,(SUMIF($D$2:$EE$2,AZ$2-1,$D6:$EE6)/12)*(1+XLOOKUP(AZ$2,Assumptions!$C$94:$M$94,Assumptions!$C$97:$M$97)))</f>
        <v>31615.09227</v>
      </c>
      <c r="BA6" s="54">
        <f t="array" ref="BA6">IF(BA$2=1,Assumptions!$AF6/12,(SUMIF($D$2:$EE$2,BA$2-1,$D6:$EE6)/12)*(1+XLOOKUP(BA$2,Assumptions!$C$94:$M$94,Assumptions!$C$97:$M$97)))</f>
        <v>31615.09227</v>
      </c>
      <c r="BB6" s="54">
        <f t="array" ref="BB6">IF(BB$2=1,Assumptions!$AF6/12,(SUMIF($D$2:$EE$2,BB$2-1,$D6:$EE6)/12)*(1+XLOOKUP(BB$2,Assumptions!$C$94:$M$94,Assumptions!$C$97:$M$97)))</f>
        <v>31615.09227</v>
      </c>
      <c r="BC6" s="54">
        <f t="array" ref="BC6">IF(BC$2=1,Assumptions!$AF6/12,(SUMIF($D$2:$EE$2,BC$2-1,$D6:$EE6)/12)*(1+XLOOKUP(BC$2,Assumptions!$C$94:$M$94,Assumptions!$C$97:$M$97)))</f>
        <v>31615.09227</v>
      </c>
      <c r="BD6" s="54">
        <f t="array" ref="BD6">IF(BD$2=1,Assumptions!$AF6/12,(SUMIF($D$2:$EE$2,BD$2-1,$D6:$EE6)/12)*(1+XLOOKUP(BD$2,Assumptions!$C$94:$M$94,Assumptions!$C$97:$M$97)))</f>
        <v>31615.09227</v>
      </c>
      <c r="BE6" s="54">
        <f t="array" ref="BE6">IF(BE$2=1,Assumptions!$AF6/12,(SUMIF($D$2:$EE$2,BE$2-1,$D6:$EE6)/12)*(1+XLOOKUP(BE$2,Assumptions!$C$94:$M$94,Assumptions!$C$97:$M$97)))</f>
        <v>31615.09227</v>
      </c>
      <c r="BF6" s="54">
        <f t="array" ref="BF6">IF(BF$2=1,Assumptions!$AF6/12,(SUMIF($D$2:$EE$2,BF$2-1,$D6:$EE6)/12)*(1+XLOOKUP(BF$2,Assumptions!$C$94:$M$94,Assumptions!$C$97:$M$97)))</f>
        <v>31615.09227</v>
      </c>
      <c r="BG6" s="54">
        <f t="array" ref="BG6">IF(BG$2=1,Assumptions!$AF6/12,(SUMIF($D$2:$EE$2,BG$2-1,$D6:$EE6)/12)*(1+XLOOKUP(BG$2,Assumptions!$C$94:$M$94,Assumptions!$C$97:$M$97)))</f>
        <v>31615.09227</v>
      </c>
      <c r="BH6" s="54">
        <f t="array" ref="BH6">IF(BH$2=1,Assumptions!$AF6/12,(SUMIF($D$2:$EE$2,BH$2-1,$D6:$EE6)/12)*(1+XLOOKUP(BH$2,Assumptions!$C$94:$M$94,Assumptions!$C$97:$M$97)))</f>
        <v>31615.09227</v>
      </c>
      <c r="BI6" s="54">
        <f t="array" ref="BI6">IF(BI$2=1,Assumptions!$AF6/12,(SUMIF($D$2:$EE$2,BI$2-1,$D6:$EE6)/12)*(1+XLOOKUP(BI$2,Assumptions!$C$94:$M$94,Assumptions!$C$97:$M$97)))</f>
        <v>31615.09227</v>
      </c>
      <c r="BJ6" s="54">
        <f t="array" ref="BJ6">IF(BJ$2=1,Assumptions!$AF6/12,(SUMIF($D$2:$EE$2,BJ$2-1,$D6:$EE6)/12)*(1+XLOOKUP(BJ$2,Assumptions!$C$94:$M$94,Assumptions!$C$97:$M$97)))</f>
        <v>31615.09227</v>
      </c>
      <c r="BK6" s="54">
        <f t="array" ref="BK6">IF(BK$2=1,Assumptions!$AF6/12,(SUMIF($D$2:$EE$2,BK$2-1,$D6:$EE6)/12)*(1+XLOOKUP(BK$2,Assumptions!$C$94:$M$94,Assumptions!$C$97:$M$97)))</f>
        <v>31615.09227</v>
      </c>
      <c r="BL6" s="54">
        <f t="array" ref="BL6">IF(BL$2=1,Assumptions!$AF6/12,(SUMIF($D$2:$EE$2,BL$2-1,$D6:$EE6)/12)*(1+XLOOKUP(BL$2,Assumptions!$C$94:$M$94,Assumptions!$C$97:$M$97)))</f>
        <v>32563.54504</v>
      </c>
      <c r="BM6" s="54">
        <f t="array" ref="BM6">IF(BM$2=1,Assumptions!$AF6/12,(SUMIF($D$2:$EE$2,BM$2-1,$D6:$EE6)/12)*(1+XLOOKUP(BM$2,Assumptions!$C$94:$M$94,Assumptions!$C$97:$M$97)))</f>
        <v>32563.54504</v>
      </c>
      <c r="BN6" s="54">
        <f t="array" ref="BN6">IF(BN$2=1,Assumptions!$AF6/12,(SUMIF($D$2:$EE$2,BN$2-1,$D6:$EE6)/12)*(1+XLOOKUP(BN$2,Assumptions!$C$94:$M$94,Assumptions!$C$97:$M$97)))</f>
        <v>32563.54504</v>
      </c>
      <c r="BO6" s="54">
        <f t="array" ref="BO6">IF(BO$2=1,Assumptions!$AF6/12,(SUMIF($D$2:$EE$2,BO$2-1,$D6:$EE6)/12)*(1+XLOOKUP(BO$2,Assumptions!$C$94:$M$94,Assumptions!$C$97:$M$97)))</f>
        <v>32563.54504</v>
      </c>
      <c r="BP6" s="54">
        <f t="array" ref="BP6">IF(BP$2=1,Assumptions!$AF6/12,(SUMIF($D$2:$EE$2,BP$2-1,$D6:$EE6)/12)*(1+XLOOKUP(BP$2,Assumptions!$C$94:$M$94,Assumptions!$C$97:$M$97)))</f>
        <v>32563.54504</v>
      </c>
      <c r="BQ6" s="54">
        <f t="array" ref="BQ6">IF(BQ$2=1,Assumptions!$AF6/12,(SUMIF($D$2:$EE$2,BQ$2-1,$D6:$EE6)/12)*(1+XLOOKUP(BQ$2,Assumptions!$C$94:$M$94,Assumptions!$C$97:$M$97)))</f>
        <v>32563.54504</v>
      </c>
      <c r="BR6" s="54">
        <f t="array" ref="BR6">IF(BR$2=1,Assumptions!$AF6/12,(SUMIF($D$2:$EE$2,BR$2-1,$D6:$EE6)/12)*(1+XLOOKUP(BR$2,Assumptions!$C$94:$M$94,Assumptions!$C$97:$M$97)))</f>
        <v>32563.54504</v>
      </c>
      <c r="BS6" s="54">
        <f t="array" ref="BS6">IF(BS$2=1,Assumptions!$AF6/12,(SUMIF($D$2:$EE$2,BS$2-1,$D6:$EE6)/12)*(1+XLOOKUP(BS$2,Assumptions!$C$94:$M$94,Assumptions!$C$97:$M$97)))</f>
        <v>32563.54504</v>
      </c>
      <c r="BT6" s="54">
        <f t="array" ref="BT6">IF(BT$2=1,Assumptions!$AF6/12,(SUMIF($D$2:$EE$2,BT$2-1,$D6:$EE6)/12)*(1+XLOOKUP(BT$2,Assumptions!$C$94:$M$94,Assumptions!$C$97:$M$97)))</f>
        <v>32563.54504</v>
      </c>
      <c r="BU6" s="54">
        <f t="array" ref="BU6">IF(BU$2=1,Assumptions!$AF6/12,(SUMIF($D$2:$EE$2,BU$2-1,$D6:$EE6)/12)*(1+XLOOKUP(BU$2,Assumptions!$C$94:$M$94,Assumptions!$C$97:$M$97)))</f>
        <v>32563.54504</v>
      </c>
      <c r="BV6" s="54">
        <f t="array" ref="BV6">IF(BV$2=1,Assumptions!$AF6/12,(SUMIF($D$2:$EE$2,BV$2-1,$D6:$EE6)/12)*(1+XLOOKUP(BV$2,Assumptions!$C$94:$M$94,Assumptions!$C$97:$M$97)))</f>
        <v>32563.54504</v>
      </c>
      <c r="BW6" s="54">
        <f t="array" ref="BW6">IF(BW$2=1,Assumptions!$AF6/12,(SUMIF($D$2:$EE$2,BW$2-1,$D6:$EE6)/12)*(1+XLOOKUP(BW$2,Assumptions!$C$94:$M$94,Assumptions!$C$97:$M$97)))</f>
        <v>32563.54504</v>
      </c>
      <c r="BX6" s="54">
        <f t="array" ref="BX6">IF(BX$2=1,Assumptions!$AF6/12,(SUMIF($D$2:$EE$2,BX$2-1,$D6:$EE6)/12)*(1+XLOOKUP(BX$2,Assumptions!$C$94:$M$94,Assumptions!$C$97:$M$97)))</f>
        <v>33540.45139</v>
      </c>
      <c r="BY6" s="54">
        <f t="array" ref="BY6">IF(BY$2=1,Assumptions!$AF6/12,(SUMIF($D$2:$EE$2,BY$2-1,$D6:$EE6)/12)*(1+XLOOKUP(BY$2,Assumptions!$C$94:$M$94,Assumptions!$C$97:$M$97)))</f>
        <v>33540.45139</v>
      </c>
      <c r="BZ6" s="54">
        <f t="array" ref="BZ6">IF(BZ$2=1,Assumptions!$AF6/12,(SUMIF($D$2:$EE$2,BZ$2-1,$D6:$EE6)/12)*(1+XLOOKUP(BZ$2,Assumptions!$C$94:$M$94,Assumptions!$C$97:$M$97)))</f>
        <v>33540.45139</v>
      </c>
      <c r="CA6" s="54">
        <f t="array" ref="CA6">IF(CA$2=1,Assumptions!$AF6/12,(SUMIF($D$2:$EE$2,CA$2-1,$D6:$EE6)/12)*(1+XLOOKUP(CA$2,Assumptions!$C$94:$M$94,Assumptions!$C$97:$M$97)))</f>
        <v>33540.45139</v>
      </c>
      <c r="CB6" s="54">
        <f t="array" ref="CB6">IF(CB$2=1,Assumptions!$AF6/12,(SUMIF($D$2:$EE$2,CB$2-1,$D6:$EE6)/12)*(1+XLOOKUP(CB$2,Assumptions!$C$94:$M$94,Assumptions!$C$97:$M$97)))</f>
        <v>33540.45139</v>
      </c>
      <c r="CC6" s="54">
        <f t="array" ref="CC6">IF(CC$2=1,Assumptions!$AF6/12,(SUMIF($D$2:$EE$2,CC$2-1,$D6:$EE6)/12)*(1+XLOOKUP(CC$2,Assumptions!$C$94:$M$94,Assumptions!$C$97:$M$97)))</f>
        <v>33540.45139</v>
      </c>
      <c r="CD6" s="54">
        <f t="array" ref="CD6">IF(CD$2=1,Assumptions!$AF6/12,(SUMIF($D$2:$EE$2,CD$2-1,$D6:$EE6)/12)*(1+XLOOKUP(CD$2,Assumptions!$C$94:$M$94,Assumptions!$C$97:$M$97)))</f>
        <v>33540.45139</v>
      </c>
      <c r="CE6" s="54">
        <f t="array" ref="CE6">IF(CE$2=1,Assumptions!$AF6/12,(SUMIF($D$2:$EE$2,CE$2-1,$D6:$EE6)/12)*(1+XLOOKUP(CE$2,Assumptions!$C$94:$M$94,Assumptions!$C$97:$M$97)))</f>
        <v>33540.45139</v>
      </c>
      <c r="CF6" s="54">
        <f t="array" ref="CF6">IF(CF$2=1,Assumptions!$AF6/12,(SUMIF($D$2:$EE$2,CF$2-1,$D6:$EE6)/12)*(1+XLOOKUP(CF$2,Assumptions!$C$94:$M$94,Assumptions!$C$97:$M$97)))</f>
        <v>33540.45139</v>
      </c>
      <c r="CG6" s="54">
        <f t="array" ref="CG6">IF(CG$2=1,Assumptions!$AF6/12,(SUMIF($D$2:$EE$2,CG$2-1,$D6:$EE6)/12)*(1+XLOOKUP(CG$2,Assumptions!$C$94:$M$94,Assumptions!$C$97:$M$97)))</f>
        <v>33540.45139</v>
      </c>
      <c r="CH6" s="54">
        <f t="array" ref="CH6">IF(CH$2=1,Assumptions!$AF6/12,(SUMIF($D$2:$EE$2,CH$2-1,$D6:$EE6)/12)*(1+XLOOKUP(CH$2,Assumptions!$C$94:$M$94,Assumptions!$C$97:$M$97)))</f>
        <v>33540.45139</v>
      </c>
      <c r="CI6" s="54">
        <f t="array" ref="CI6">IF(CI$2=1,Assumptions!$AF6/12,(SUMIF($D$2:$EE$2,CI$2-1,$D6:$EE6)/12)*(1+XLOOKUP(CI$2,Assumptions!$C$94:$M$94,Assumptions!$C$97:$M$97)))</f>
        <v>33540.45139</v>
      </c>
      <c r="CJ6" s="54">
        <f t="array" ref="CJ6">IF(CJ$2=1,Assumptions!$AF6/12,(SUMIF($D$2:$EE$2,CJ$2-1,$D6:$EE6)/12)*(1+XLOOKUP(CJ$2,Assumptions!$C$94:$M$94,Assumptions!$C$97:$M$97)))</f>
        <v>34546.66493</v>
      </c>
      <c r="CK6" s="54">
        <f t="array" ref="CK6">IF(CK$2=1,Assumptions!$AF6/12,(SUMIF($D$2:$EE$2,CK$2-1,$D6:$EE6)/12)*(1+XLOOKUP(CK$2,Assumptions!$C$94:$M$94,Assumptions!$C$97:$M$97)))</f>
        <v>34546.66493</v>
      </c>
      <c r="CL6" s="54">
        <f t="array" ref="CL6">IF(CL$2=1,Assumptions!$AF6/12,(SUMIF($D$2:$EE$2,CL$2-1,$D6:$EE6)/12)*(1+XLOOKUP(CL$2,Assumptions!$C$94:$M$94,Assumptions!$C$97:$M$97)))</f>
        <v>34546.66493</v>
      </c>
      <c r="CM6" s="54">
        <f t="array" ref="CM6">IF(CM$2=1,Assumptions!$AF6/12,(SUMIF($D$2:$EE$2,CM$2-1,$D6:$EE6)/12)*(1+XLOOKUP(CM$2,Assumptions!$C$94:$M$94,Assumptions!$C$97:$M$97)))</f>
        <v>34546.66493</v>
      </c>
      <c r="CN6" s="54">
        <f t="array" ref="CN6">IF(CN$2=1,Assumptions!$AF6/12,(SUMIF($D$2:$EE$2,CN$2-1,$D6:$EE6)/12)*(1+XLOOKUP(CN$2,Assumptions!$C$94:$M$94,Assumptions!$C$97:$M$97)))</f>
        <v>34546.66493</v>
      </c>
      <c r="CO6" s="54">
        <f t="array" ref="CO6">IF(CO$2=1,Assumptions!$AF6/12,(SUMIF($D$2:$EE$2,CO$2-1,$D6:$EE6)/12)*(1+XLOOKUP(CO$2,Assumptions!$C$94:$M$94,Assumptions!$C$97:$M$97)))</f>
        <v>34546.66493</v>
      </c>
      <c r="CP6" s="54">
        <f t="array" ref="CP6">IF(CP$2=1,Assumptions!$AF6/12,(SUMIF($D$2:$EE$2,CP$2-1,$D6:$EE6)/12)*(1+XLOOKUP(CP$2,Assumptions!$C$94:$M$94,Assumptions!$C$97:$M$97)))</f>
        <v>34546.66493</v>
      </c>
      <c r="CQ6" s="54">
        <f t="array" ref="CQ6">IF(CQ$2=1,Assumptions!$AF6/12,(SUMIF($D$2:$EE$2,CQ$2-1,$D6:$EE6)/12)*(1+XLOOKUP(CQ$2,Assumptions!$C$94:$M$94,Assumptions!$C$97:$M$97)))</f>
        <v>34546.66493</v>
      </c>
      <c r="CR6" s="54">
        <f t="array" ref="CR6">IF(CR$2=1,Assumptions!$AF6/12,(SUMIF($D$2:$EE$2,CR$2-1,$D6:$EE6)/12)*(1+XLOOKUP(CR$2,Assumptions!$C$94:$M$94,Assumptions!$C$97:$M$97)))</f>
        <v>34546.66493</v>
      </c>
      <c r="CS6" s="54">
        <f t="array" ref="CS6">IF(CS$2=1,Assumptions!$AF6/12,(SUMIF($D$2:$EE$2,CS$2-1,$D6:$EE6)/12)*(1+XLOOKUP(CS$2,Assumptions!$C$94:$M$94,Assumptions!$C$97:$M$97)))</f>
        <v>34546.66493</v>
      </c>
      <c r="CT6" s="54">
        <f t="array" ref="CT6">IF(CT$2=1,Assumptions!$AF6/12,(SUMIF($D$2:$EE$2,CT$2-1,$D6:$EE6)/12)*(1+XLOOKUP(CT$2,Assumptions!$C$94:$M$94,Assumptions!$C$97:$M$97)))</f>
        <v>34546.66493</v>
      </c>
      <c r="CU6" s="54">
        <f t="array" ref="CU6">IF(CU$2=1,Assumptions!$AF6/12,(SUMIF($D$2:$EE$2,CU$2-1,$D6:$EE6)/12)*(1+XLOOKUP(CU$2,Assumptions!$C$94:$M$94,Assumptions!$C$97:$M$97)))</f>
        <v>34546.66493</v>
      </c>
      <c r="CV6" s="54">
        <f t="array" ref="CV6">IF(CV$2=1,Assumptions!$AF6/12,(SUMIF($D$2:$EE$2,CV$2-1,$D6:$EE6)/12)*(1+XLOOKUP(CV$2,Assumptions!$C$94:$M$94,Assumptions!$C$97:$M$97)))</f>
        <v>35583.06488</v>
      </c>
      <c r="CW6" s="54">
        <f t="array" ref="CW6">IF(CW$2=1,Assumptions!$AF6/12,(SUMIF($D$2:$EE$2,CW$2-1,$D6:$EE6)/12)*(1+XLOOKUP(CW$2,Assumptions!$C$94:$M$94,Assumptions!$C$97:$M$97)))</f>
        <v>35583.06488</v>
      </c>
      <c r="CX6" s="54">
        <f t="array" ref="CX6">IF(CX$2=1,Assumptions!$AF6/12,(SUMIF($D$2:$EE$2,CX$2-1,$D6:$EE6)/12)*(1+XLOOKUP(CX$2,Assumptions!$C$94:$M$94,Assumptions!$C$97:$M$97)))</f>
        <v>35583.06488</v>
      </c>
      <c r="CY6" s="54">
        <f t="array" ref="CY6">IF(CY$2=1,Assumptions!$AF6/12,(SUMIF($D$2:$EE$2,CY$2-1,$D6:$EE6)/12)*(1+XLOOKUP(CY$2,Assumptions!$C$94:$M$94,Assumptions!$C$97:$M$97)))</f>
        <v>35583.06488</v>
      </c>
      <c r="CZ6" s="54">
        <f t="array" ref="CZ6">IF(CZ$2=1,Assumptions!$AF6/12,(SUMIF($D$2:$EE$2,CZ$2-1,$D6:$EE6)/12)*(1+XLOOKUP(CZ$2,Assumptions!$C$94:$M$94,Assumptions!$C$97:$M$97)))</f>
        <v>35583.06488</v>
      </c>
      <c r="DA6" s="54">
        <f t="array" ref="DA6">IF(DA$2=1,Assumptions!$AF6/12,(SUMIF($D$2:$EE$2,DA$2-1,$D6:$EE6)/12)*(1+XLOOKUP(DA$2,Assumptions!$C$94:$M$94,Assumptions!$C$97:$M$97)))</f>
        <v>35583.06488</v>
      </c>
      <c r="DB6" s="54">
        <f t="array" ref="DB6">IF(DB$2=1,Assumptions!$AF6/12,(SUMIF($D$2:$EE$2,DB$2-1,$D6:$EE6)/12)*(1+XLOOKUP(DB$2,Assumptions!$C$94:$M$94,Assumptions!$C$97:$M$97)))</f>
        <v>35583.06488</v>
      </c>
      <c r="DC6" s="54">
        <f t="array" ref="DC6">IF(DC$2=1,Assumptions!$AF6/12,(SUMIF($D$2:$EE$2,DC$2-1,$D6:$EE6)/12)*(1+XLOOKUP(DC$2,Assumptions!$C$94:$M$94,Assumptions!$C$97:$M$97)))</f>
        <v>35583.06488</v>
      </c>
      <c r="DD6" s="54">
        <f t="array" ref="DD6">IF(DD$2=1,Assumptions!$AF6/12,(SUMIF($D$2:$EE$2,DD$2-1,$D6:$EE6)/12)*(1+XLOOKUP(DD$2,Assumptions!$C$94:$M$94,Assumptions!$C$97:$M$97)))</f>
        <v>35583.06488</v>
      </c>
      <c r="DE6" s="54">
        <f t="array" ref="DE6">IF(DE$2=1,Assumptions!$AF6/12,(SUMIF($D$2:$EE$2,DE$2-1,$D6:$EE6)/12)*(1+XLOOKUP(DE$2,Assumptions!$C$94:$M$94,Assumptions!$C$97:$M$97)))</f>
        <v>35583.06488</v>
      </c>
      <c r="DF6" s="54">
        <f t="array" ref="DF6">IF(DF$2=1,Assumptions!$AF6/12,(SUMIF($D$2:$EE$2,DF$2-1,$D6:$EE6)/12)*(1+XLOOKUP(DF$2,Assumptions!$C$94:$M$94,Assumptions!$C$97:$M$97)))</f>
        <v>35583.06488</v>
      </c>
      <c r="DG6" s="54">
        <f t="array" ref="DG6">IF(DG$2=1,Assumptions!$AF6/12,(SUMIF($D$2:$EE$2,DG$2-1,$D6:$EE6)/12)*(1+XLOOKUP(DG$2,Assumptions!$C$94:$M$94,Assumptions!$C$97:$M$97)))</f>
        <v>35583.06488</v>
      </c>
      <c r="DH6" s="54">
        <f t="array" ref="DH6">IF(DH$2=1,Assumptions!$AF6/12,(SUMIF($D$2:$EE$2,DH$2-1,$D6:$EE6)/12)*(1+XLOOKUP(DH$2,Assumptions!$C$94:$M$94,Assumptions!$C$97:$M$97)))</f>
        <v>36650.55682</v>
      </c>
      <c r="DI6" s="54">
        <f t="array" ref="DI6">IF(DI$2=1,Assumptions!$AF6/12,(SUMIF($D$2:$EE$2,DI$2-1,$D6:$EE6)/12)*(1+XLOOKUP(DI$2,Assumptions!$C$94:$M$94,Assumptions!$C$97:$M$97)))</f>
        <v>36650.55682</v>
      </c>
      <c r="DJ6" s="54">
        <f t="array" ref="DJ6">IF(DJ$2=1,Assumptions!$AF6/12,(SUMIF($D$2:$EE$2,DJ$2-1,$D6:$EE6)/12)*(1+XLOOKUP(DJ$2,Assumptions!$C$94:$M$94,Assumptions!$C$97:$M$97)))</f>
        <v>36650.55682</v>
      </c>
      <c r="DK6" s="54">
        <f t="array" ref="DK6">IF(DK$2=1,Assumptions!$AF6/12,(SUMIF($D$2:$EE$2,DK$2-1,$D6:$EE6)/12)*(1+XLOOKUP(DK$2,Assumptions!$C$94:$M$94,Assumptions!$C$97:$M$97)))</f>
        <v>36650.55682</v>
      </c>
      <c r="DL6" s="54">
        <f t="array" ref="DL6">IF(DL$2=1,Assumptions!$AF6/12,(SUMIF($D$2:$EE$2,DL$2-1,$D6:$EE6)/12)*(1+XLOOKUP(DL$2,Assumptions!$C$94:$M$94,Assumptions!$C$97:$M$97)))</f>
        <v>36650.55682</v>
      </c>
      <c r="DM6" s="54">
        <f t="array" ref="DM6">IF(DM$2=1,Assumptions!$AF6/12,(SUMIF($D$2:$EE$2,DM$2-1,$D6:$EE6)/12)*(1+XLOOKUP(DM$2,Assumptions!$C$94:$M$94,Assumptions!$C$97:$M$97)))</f>
        <v>36650.55682</v>
      </c>
      <c r="DN6" s="54">
        <f t="array" ref="DN6">IF(DN$2=1,Assumptions!$AF6/12,(SUMIF($D$2:$EE$2,DN$2-1,$D6:$EE6)/12)*(1+XLOOKUP(DN$2,Assumptions!$C$94:$M$94,Assumptions!$C$97:$M$97)))</f>
        <v>36650.55682</v>
      </c>
      <c r="DO6" s="54">
        <f t="array" ref="DO6">IF(DO$2=1,Assumptions!$AF6/12,(SUMIF($D$2:$EE$2,DO$2-1,$D6:$EE6)/12)*(1+XLOOKUP(DO$2,Assumptions!$C$94:$M$94,Assumptions!$C$97:$M$97)))</f>
        <v>36650.55682</v>
      </c>
      <c r="DP6" s="54">
        <f t="array" ref="DP6">IF(DP$2=1,Assumptions!$AF6/12,(SUMIF($D$2:$EE$2,DP$2-1,$D6:$EE6)/12)*(1+XLOOKUP(DP$2,Assumptions!$C$94:$M$94,Assumptions!$C$97:$M$97)))</f>
        <v>36650.55682</v>
      </c>
      <c r="DQ6" s="54">
        <f t="array" ref="DQ6">IF(DQ$2=1,Assumptions!$AF6/12,(SUMIF($D$2:$EE$2,DQ$2-1,$D6:$EE6)/12)*(1+XLOOKUP(DQ$2,Assumptions!$C$94:$M$94,Assumptions!$C$97:$M$97)))</f>
        <v>36650.55682</v>
      </c>
      <c r="DR6" s="54">
        <f t="array" ref="DR6">IF(DR$2=1,Assumptions!$AF6/12,(SUMIF($D$2:$EE$2,DR$2-1,$D6:$EE6)/12)*(1+XLOOKUP(DR$2,Assumptions!$C$94:$M$94,Assumptions!$C$97:$M$97)))</f>
        <v>36650.55682</v>
      </c>
      <c r="DS6" s="54">
        <f t="array" ref="DS6">IF(DS$2=1,Assumptions!$AF6/12,(SUMIF($D$2:$EE$2,DS$2-1,$D6:$EE6)/12)*(1+XLOOKUP(DS$2,Assumptions!$C$94:$M$94,Assumptions!$C$97:$M$97)))</f>
        <v>36650.55682</v>
      </c>
      <c r="DT6" s="54">
        <f t="array" ref="DT6">IF(DT$2=1,Assumptions!$AF6/12,(SUMIF($D$2:$EE$2,DT$2-1,$D6:$EE6)/12)*(1+XLOOKUP(DT$2,Assumptions!$C$94:$M$94,Assumptions!$C$97:$M$97)))</f>
        <v>37750.07353</v>
      </c>
      <c r="DU6" s="54">
        <f t="array" ref="DU6">IF(DU$2=1,Assumptions!$AF6/12,(SUMIF($D$2:$EE$2,DU$2-1,$D6:$EE6)/12)*(1+XLOOKUP(DU$2,Assumptions!$C$94:$M$94,Assumptions!$C$97:$M$97)))</f>
        <v>37750.07353</v>
      </c>
      <c r="DV6" s="54">
        <f t="array" ref="DV6">IF(DV$2=1,Assumptions!$AF6/12,(SUMIF($D$2:$EE$2,DV$2-1,$D6:$EE6)/12)*(1+XLOOKUP(DV$2,Assumptions!$C$94:$M$94,Assumptions!$C$97:$M$97)))</f>
        <v>37750.07353</v>
      </c>
      <c r="DW6" s="54">
        <f t="array" ref="DW6">IF(DW$2=1,Assumptions!$AF6/12,(SUMIF($D$2:$EE$2,DW$2-1,$D6:$EE6)/12)*(1+XLOOKUP(DW$2,Assumptions!$C$94:$M$94,Assumptions!$C$97:$M$97)))</f>
        <v>37750.07353</v>
      </c>
      <c r="DX6" s="54">
        <f t="array" ref="DX6">IF(DX$2=1,Assumptions!$AF6/12,(SUMIF($D$2:$EE$2,DX$2-1,$D6:$EE6)/12)*(1+XLOOKUP(DX$2,Assumptions!$C$94:$M$94,Assumptions!$C$97:$M$97)))</f>
        <v>37750.07353</v>
      </c>
      <c r="DY6" s="54">
        <f t="array" ref="DY6">IF(DY$2=1,Assumptions!$AF6/12,(SUMIF($D$2:$EE$2,DY$2-1,$D6:$EE6)/12)*(1+XLOOKUP(DY$2,Assumptions!$C$94:$M$94,Assumptions!$C$97:$M$97)))</f>
        <v>37750.07353</v>
      </c>
      <c r="DZ6" s="54">
        <f t="array" ref="DZ6">IF(DZ$2=1,Assumptions!$AF6/12,(SUMIF($D$2:$EE$2,DZ$2-1,$D6:$EE6)/12)*(1+XLOOKUP(DZ$2,Assumptions!$C$94:$M$94,Assumptions!$C$97:$M$97)))</f>
        <v>37750.07353</v>
      </c>
      <c r="EA6" s="54">
        <f t="array" ref="EA6">IF(EA$2=1,Assumptions!$AF6/12,(SUMIF($D$2:$EE$2,EA$2-1,$D6:$EE6)/12)*(1+XLOOKUP(EA$2,Assumptions!$C$94:$M$94,Assumptions!$C$97:$M$97)))</f>
        <v>37750.07353</v>
      </c>
      <c r="EB6" s="54">
        <f t="array" ref="EB6">IF(EB$2=1,Assumptions!$AF6/12,(SUMIF($D$2:$EE$2,EB$2-1,$D6:$EE6)/12)*(1+XLOOKUP(EB$2,Assumptions!$C$94:$M$94,Assumptions!$C$97:$M$97)))</f>
        <v>37750.07353</v>
      </c>
      <c r="EC6" s="54">
        <f t="array" ref="EC6">IF(EC$2=1,Assumptions!$AF6/12,(SUMIF($D$2:$EE$2,EC$2-1,$D6:$EE6)/12)*(1+XLOOKUP(EC$2,Assumptions!$C$94:$M$94,Assumptions!$C$97:$M$97)))</f>
        <v>37750.07353</v>
      </c>
      <c r="ED6" s="54">
        <f t="array" ref="ED6">IF(ED$2=1,Assumptions!$AF6/12,(SUMIF($D$2:$EE$2,ED$2-1,$D6:$EE6)/12)*(1+XLOOKUP(ED$2,Assumptions!$C$94:$M$94,Assumptions!$C$97:$M$97)))</f>
        <v>37750.07353</v>
      </c>
      <c r="EE6" s="54">
        <f t="array" ref="EE6">IF(EE$2=1,Assumptions!$AF6/12,(SUMIF($D$2:$EE$2,EE$2-1,$D6:$EE6)/12)*(1+XLOOKUP(EE$2,Assumptions!$C$94:$M$94,Assumptions!$C$97:$M$97)))</f>
        <v>37750.07353</v>
      </c>
    </row>
    <row r="7" ht="15.75" customHeight="1">
      <c r="A7" s="1"/>
      <c r="B7" s="1"/>
      <c r="C7" s="1" t="str">
        <f>Assumptions!Z7</f>
        <v>2x2</v>
      </c>
      <c r="D7" s="54">
        <f t="array" ref="D7">IF(D$2=1,Assumptions!$AF7/12,(SUMIF($D$2:$EE$2,D$2-1,$D7:$EE7)/12)*(1+XLOOKUP(D$2,Assumptions!$C$94:$M$94,Assumptions!$C$97:$M$97)))</f>
        <v>32323.2</v>
      </c>
      <c r="E7" s="54">
        <f t="array" ref="E7">IF(E$2=1,Assumptions!$AF7/12,(SUMIF($D$2:$EE$2,E$2-1,$D7:$EE7)/12)*(1+XLOOKUP(E$2,Assumptions!$C$94:$M$94,Assumptions!$C$97:$M$97)))</f>
        <v>32323.2</v>
      </c>
      <c r="F7" s="54">
        <f t="array" ref="F7">IF(F$2=1,Assumptions!$AF7/12,(SUMIF($D$2:$EE$2,F$2-1,$D7:$EE7)/12)*(1+XLOOKUP(F$2,Assumptions!$C$94:$M$94,Assumptions!$C$97:$M$97)))</f>
        <v>32323.2</v>
      </c>
      <c r="G7" s="54">
        <f t="array" ref="G7">IF(G$2=1,Assumptions!$AF7/12,(SUMIF($D$2:$EE$2,G$2-1,$D7:$EE7)/12)*(1+XLOOKUP(G$2,Assumptions!$C$94:$M$94,Assumptions!$C$97:$M$97)))</f>
        <v>32323.2</v>
      </c>
      <c r="H7" s="54">
        <f t="array" ref="H7">IF(H$2=1,Assumptions!$AF7/12,(SUMIF($D$2:$EE$2,H$2-1,$D7:$EE7)/12)*(1+XLOOKUP(H$2,Assumptions!$C$94:$M$94,Assumptions!$C$97:$M$97)))</f>
        <v>32323.2</v>
      </c>
      <c r="I7" s="54">
        <f t="array" ref="I7">IF(I$2=1,Assumptions!$AF7/12,(SUMIF($D$2:$EE$2,I$2-1,$D7:$EE7)/12)*(1+XLOOKUP(I$2,Assumptions!$C$94:$M$94,Assumptions!$C$97:$M$97)))</f>
        <v>32323.2</v>
      </c>
      <c r="J7" s="54">
        <f t="array" ref="J7">IF(J$2=1,Assumptions!$AF7/12,(SUMIF($D$2:$EE$2,J$2-1,$D7:$EE7)/12)*(1+XLOOKUP(J$2,Assumptions!$C$94:$M$94,Assumptions!$C$97:$M$97)))</f>
        <v>32323.2</v>
      </c>
      <c r="K7" s="54">
        <f t="array" ref="K7">IF(K$2=1,Assumptions!$AF7/12,(SUMIF($D$2:$EE$2,K$2-1,$D7:$EE7)/12)*(1+XLOOKUP(K$2,Assumptions!$C$94:$M$94,Assumptions!$C$97:$M$97)))</f>
        <v>32323.2</v>
      </c>
      <c r="L7" s="54">
        <f t="array" ref="L7">IF(L$2=1,Assumptions!$AF7/12,(SUMIF($D$2:$EE$2,L$2-1,$D7:$EE7)/12)*(1+XLOOKUP(L$2,Assumptions!$C$94:$M$94,Assumptions!$C$97:$M$97)))</f>
        <v>32323.2</v>
      </c>
      <c r="M7" s="54">
        <f t="array" ref="M7">IF(M$2=1,Assumptions!$AF7/12,(SUMIF($D$2:$EE$2,M$2-1,$D7:$EE7)/12)*(1+XLOOKUP(M$2,Assumptions!$C$94:$M$94,Assumptions!$C$97:$M$97)))</f>
        <v>32323.2</v>
      </c>
      <c r="N7" s="54">
        <f t="array" ref="N7">IF(N$2=1,Assumptions!$AF7/12,(SUMIF($D$2:$EE$2,N$2-1,$D7:$EE7)/12)*(1+XLOOKUP(N$2,Assumptions!$C$94:$M$94,Assumptions!$C$97:$M$97)))</f>
        <v>32323.2</v>
      </c>
      <c r="O7" s="54">
        <f t="array" ref="O7">IF(O$2=1,Assumptions!$AF7/12,(SUMIF($D$2:$EE$2,O$2-1,$D7:$EE7)/12)*(1+XLOOKUP(O$2,Assumptions!$C$94:$M$94,Assumptions!$C$97:$M$97)))</f>
        <v>32323.2</v>
      </c>
      <c r="P7" s="54">
        <f t="array" ref="P7">IF(P$2=1,Assumptions!$AF7/12,(SUMIF($D$2:$EE$2,P$2-1,$D7:$EE7)/12)*(1+XLOOKUP(P$2,Assumptions!$C$94:$M$94,Assumptions!$C$97:$M$97)))</f>
        <v>33292.896</v>
      </c>
      <c r="Q7" s="54">
        <f t="array" ref="Q7">IF(Q$2=1,Assumptions!$AF7/12,(SUMIF($D$2:$EE$2,Q$2-1,$D7:$EE7)/12)*(1+XLOOKUP(Q$2,Assumptions!$C$94:$M$94,Assumptions!$C$97:$M$97)))</f>
        <v>33292.896</v>
      </c>
      <c r="R7" s="54">
        <f t="array" ref="R7">IF(R$2=1,Assumptions!$AF7/12,(SUMIF($D$2:$EE$2,R$2-1,$D7:$EE7)/12)*(1+XLOOKUP(R$2,Assumptions!$C$94:$M$94,Assumptions!$C$97:$M$97)))</f>
        <v>33292.896</v>
      </c>
      <c r="S7" s="54">
        <f t="array" ref="S7">IF(S$2=1,Assumptions!$AF7/12,(SUMIF($D$2:$EE$2,S$2-1,$D7:$EE7)/12)*(1+XLOOKUP(S$2,Assumptions!$C$94:$M$94,Assumptions!$C$97:$M$97)))</f>
        <v>33292.896</v>
      </c>
      <c r="T7" s="54">
        <f t="array" ref="T7">IF(T$2=1,Assumptions!$AF7/12,(SUMIF($D$2:$EE$2,T$2-1,$D7:$EE7)/12)*(1+XLOOKUP(T$2,Assumptions!$C$94:$M$94,Assumptions!$C$97:$M$97)))</f>
        <v>33292.896</v>
      </c>
      <c r="U7" s="54">
        <f t="array" ref="U7">IF(U$2=1,Assumptions!$AF7/12,(SUMIF($D$2:$EE$2,U$2-1,$D7:$EE7)/12)*(1+XLOOKUP(U$2,Assumptions!$C$94:$M$94,Assumptions!$C$97:$M$97)))</f>
        <v>33292.896</v>
      </c>
      <c r="V7" s="54">
        <f t="array" ref="V7">IF(V$2=1,Assumptions!$AF7/12,(SUMIF($D$2:$EE$2,V$2-1,$D7:$EE7)/12)*(1+XLOOKUP(V$2,Assumptions!$C$94:$M$94,Assumptions!$C$97:$M$97)))</f>
        <v>33292.896</v>
      </c>
      <c r="W7" s="54">
        <f t="array" ref="W7">IF(W$2=1,Assumptions!$AF7/12,(SUMIF($D$2:$EE$2,W$2-1,$D7:$EE7)/12)*(1+XLOOKUP(W$2,Assumptions!$C$94:$M$94,Assumptions!$C$97:$M$97)))</f>
        <v>33292.896</v>
      </c>
      <c r="X7" s="54">
        <f t="array" ref="X7">IF(X$2=1,Assumptions!$AF7/12,(SUMIF($D$2:$EE$2,X$2-1,$D7:$EE7)/12)*(1+XLOOKUP(X$2,Assumptions!$C$94:$M$94,Assumptions!$C$97:$M$97)))</f>
        <v>33292.896</v>
      </c>
      <c r="Y7" s="54">
        <f t="array" ref="Y7">IF(Y$2=1,Assumptions!$AF7/12,(SUMIF($D$2:$EE$2,Y$2-1,$D7:$EE7)/12)*(1+XLOOKUP(Y$2,Assumptions!$C$94:$M$94,Assumptions!$C$97:$M$97)))</f>
        <v>33292.896</v>
      </c>
      <c r="Z7" s="54">
        <f t="array" ref="Z7">IF(Z$2=1,Assumptions!$AF7/12,(SUMIF($D$2:$EE$2,Z$2-1,$D7:$EE7)/12)*(1+XLOOKUP(Z$2,Assumptions!$C$94:$M$94,Assumptions!$C$97:$M$97)))</f>
        <v>33292.896</v>
      </c>
      <c r="AA7" s="54">
        <f t="array" ref="AA7">IF(AA$2=1,Assumptions!$AF7/12,(SUMIF($D$2:$EE$2,AA$2-1,$D7:$EE7)/12)*(1+XLOOKUP(AA$2,Assumptions!$C$94:$M$94,Assumptions!$C$97:$M$97)))</f>
        <v>33292.896</v>
      </c>
      <c r="AB7" s="54">
        <f t="array" ref="AB7">IF(AB$2=1,Assumptions!$AF7/12,(SUMIF($D$2:$EE$2,AB$2-1,$D7:$EE7)/12)*(1+XLOOKUP(AB$2,Assumptions!$C$94:$M$94,Assumptions!$C$97:$M$97)))</f>
        <v>34291.68288</v>
      </c>
      <c r="AC7" s="54">
        <f t="array" ref="AC7">IF(AC$2=1,Assumptions!$AF7/12,(SUMIF($D$2:$EE$2,AC$2-1,$D7:$EE7)/12)*(1+XLOOKUP(AC$2,Assumptions!$C$94:$M$94,Assumptions!$C$97:$M$97)))</f>
        <v>34291.68288</v>
      </c>
      <c r="AD7" s="54">
        <f t="array" ref="AD7">IF(AD$2=1,Assumptions!$AF7/12,(SUMIF($D$2:$EE$2,AD$2-1,$D7:$EE7)/12)*(1+XLOOKUP(AD$2,Assumptions!$C$94:$M$94,Assumptions!$C$97:$M$97)))</f>
        <v>34291.68288</v>
      </c>
      <c r="AE7" s="54">
        <f t="array" ref="AE7">IF(AE$2=1,Assumptions!$AF7/12,(SUMIF($D$2:$EE$2,AE$2-1,$D7:$EE7)/12)*(1+XLOOKUP(AE$2,Assumptions!$C$94:$M$94,Assumptions!$C$97:$M$97)))</f>
        <v>34291.68288</v>
      </c>
      <c r="AF7" s="54">
        <f t="array" ref="AF7">IF(AF$2=1,Assumptions!$AF7/12,(SUMIF($D$2:$EE$2,AF$2-1,$D7:$EE7)/12)*(1+XLOOKUP(AF$2,Assumptions!$C$94:$M$94,Assumptions!$C$97:$M$97)))</f>
        <v>34291.68288</v>
      </c>
      <c r="AG7" s="54">
        <f t="array" ref="AG7">IF(AG$2=1,Assumptions!$AF7/12,(SUMIF($D$2:$EE$2,AG$2-1,$D7:$EE7)/12)*(1+XLOOKUP(AG$2,Assumptions!$C$94:$M$94,Assumptions!$C$97:$M$97)))</f>
        <v>34291.68288</v>
      </c>
      <c r="AH7" s="54">
        <f t="array" ref="AH7">IF(AH$2=1,Assumptions!$AF7/12,(SUMIF($D$2:$EE$2,AH$2-1,$D7:$EE7)/12)*(1+XLOOKUP(AH$2,Assumptions!$C$94:$M$94,Assumptions!$C$97:$M$97)))</f>
        <v>34291.68288</v>
      </c>
      <c r="AI7" s="54">
        <f t="array" ref="AI7">IF(AI$2=1,Assumptions!$AF7/12,(SUMIF($D$2:$EE$2,AI$2-1,$D7:$EE7)/12)*(1+XLOOKUP(AI$2,Assumptions!$C$94:$M$94,Assumptions!$C$97:$M$97)))</f>
        <v>34291.68288</v>
      </c>
      <c r="AJ7" s="54">
        <f t="array" ref="AJ7">IF(AJ$2=1,Assumptions!$AF7/12,(SUMIF($D$2:$EE$2,AJ$2-1,$D7:$EE7)/12)*(1+XLOOKUP(AJ$2,Assumptions!$C$94:$M$94,Assumptions!$C$97:$M$97)))</f>
        <v>34291.68288</v>
      </c>
      <c r="AK7" s="54">
        <f t="array" ref="AK7">IF(AK$2=1,Assumptions!$AF7/12,(SUMIF($D$2:$EE$2,AK$2-1,$D7:$EE7)/12)*(1+XLOOKUP(AK$2,Assumptions!$C$94:$M$94,Assumptions!$C$97:$M$97)))</f>
        <v>34291.68288</v>
      </c>
      <c r="AL7" s="54">
        <f t="array" ref="AL7">IF(AL$2=1,Assumptions!$AF7/12,(SUMIF($D$2:$EE$2,AL$2-1,$D7:$EE7)/12)*(1+XLOOKUP(AL$2,Assumptions!$C$94:$M$94,Assumptions!$C$97:$M$97)))</f>
        <v>34291.68288</v>
      </c>
      <c r="AM7" s="54">
        <f t="array" ref="AM7">IF(AM$2=1,Assumptions!$AF7/12,(SUMIF($D$2:$EE$2,AM$2-1,$D7:$EE7)/12)*(1+XLOOKUP(AM$2,Assumptions!$C$94:$M$94,Assumptions!$C$97:$M$97)))</f>
        <v>34291.68288</v>
      </c>
      <c r="AN7" s="54">
        <f t="array" ref="AN7">IF(AN$2=1,Assumptions!$AF7/12,(SUMIF($D$2:$EE$2,AN$2-1,$D7:$EE7)/12)*(1+XLOOKUP(AN$2,Assumptions!$C$94:$M$94,Assumptions!$C$97:$M$97)))</f>
        <v>35320.43337</v>
      </c>
      <c r="AO7" s="54">
        <f t="array" ref="AO7">IF(AO$2=1,Assumptions!$AF7/12,(SUMIF($D$2:$EE$2,AO$2-1,$D7:$EE7)/12)*(1+XLOOKUP(AO$2,Assumptions!$C$94:$M$94,Assumptions!$C$97:$M$97)))</f>
        <v>35320.43337</v>
      </c>
      <c r="AP7" s="54">
        <f t="array" ref="AP7">IF(AP$2=1,Assumptions!$AF7/12,(SUMIF($D$2:$EE$2,AP$2-1,$D7:$EE7)/12)*(1+XLOOKUP(AP$2,Assumptions!$C$94:$M$94,Assumptions!$C$97:$M$97)))</f>
        <v>35320.43337</v>
      </c>
      <c r="AQ7" s="54">
        <f t="array" ref="AQ7">IF(AQ$2=1,Assumptions!$AF7/12,(SUMIF($D$2:$EE$2,AQ$2-1,$D7:$EE7)/12)*(1+XLOOKUP(AQ$2,Assumptions!$C$94:$M$94,Assumptions!$C$97:$M$97)))</f>
        <v>35320.43337</v>
      </c>
      <c r="AR7" s="54">
        <f t="array" ref="AR7">IF(AR$2=1,Assumptions!$AF7/12,(SUMIF($D$2:$EE$2,AR$2-1,$D7:$EE7)/12)*(1+XLOOKUP(AR$2,Assumptions!$C$94:$M$94,Assumptions!$C$97:$M$97)))</f>
        <v>35320.43337</v>
      </c>
      <c r="AS7" s="54">
        <f t="array" ref="AS7">IF(AS$2=1,Assumptions!$AF7/12,(SUMIF($D$2:$EE$2,AS$2-1,$D7:$EE7)/12)*(1+XLOOKUP(AS$2,Assumptions!$C$94:$M$94,Assumptions!$C$97:$M$97)))</f>
        <v>35320.43337</v>
      </c>
      <c r="AT7" s="54">
        <f t="array" ref="AT7">IF(AT$2=1,Assumptions!$AF7/12,(SUMIF($D$2:$EE$2,AT$2-1,$D7:$EE7)/12)*(1+XLOOKUP(AT$2,Assumptions!$C$94:$M$94,Assumptions!$C$97:$M$97)))</f>
        <v>35320.43337</v>
      </c>
      <c r="AU7" s="54">
        <f t="array" ref="AU7">IF(AU$2=1,Assumptions!$AF7/12,(SUMIF($D$2:$EE$2,AU$2-1,$D7:$EE7)/12)*(1+XLOOKUP(AU$2,Assumptions!$C$94:$M$94,Assumptions!$C$97:$M$97)))</f>
        <v>35320.43337</v>
      </c>
      <c r="AV7" s="54">
        <f t="array" ref="AV7">IF(AV$2=1,Assumptions!$AF7/12,(SUMIF($D$2:$EE$2,AV$2-1,$D7:$EE7)/12)*(1+XLOOKUP(AV$2,Assumptions!$C$94:$M$94,Assumptions!$C$97:$M$97)))</f>
        <v>35320.43337</v>
      </c>
      <c r="AW7" s="54">
        <f t="array" ref="AW7">IF(AW$2=1,Assumptions!$AF7/12,(SUMIF($D$2:$EE$2,AW$2-1,$D7:$EE7)/12)*(1+XLOOKUP(AW$2,Assumptions!$C$94:$M$94,Assumptions!$C$97:$M$97)))</f>
        <v>35320.43337</v>
      </c>
      <c r="AX7" s="54">
        <f t="array" ref="AX7">IF(AX$2=1,Assumptions!$AF7/12,(SUMIF($D$2:$EE$2,AX$2-1,$D7:$EE7)/12)*(1+XLOOKUP(AX$2,Assumptions!$C$94:$M$94,Assumptions!$C$97:$M$97)))</f>
        <v>35320.43337</v>
      </c>
      <c r="AY7" s="54">
        <f t="array" ref="AY7">IF(AY$2=1,Assumptions!$AF7/12,(SUMIF($D$2:$EE$2,AY$2-1,$D7:$EE7)/12)*(1+XLOOKUP(AY$2,Assumptions!$C$94:$M$94,Assumptions!$C$97:$M$97)))</f>
        <v>35320.43337</v>
      </c>
      <c r="AZ7" s="54">
        <f t="array" ref="AZ7">IF(AZ$2=1,Assumptions!$AF7/12,(SUMIF($D$2:$EE$2,AZ$2-1,$D7:$EE7)/12)*(1+XLOOKUP(AZ$2,Assumptions!$C$94:$M$94,Assumptions!$C$97:$M$97)))</f>
        <v>36380.04637</v>
      </c>
      <c r="BA7" s="54">
        <f t="array" ref="BA7">IF(BA$2=1,Assumptions!$AF7/12,(SUMIF($D$2:$EE$2,BA$2-1,$D7:$EE7)/12)*(1+XLOOKUP(BA$2,Assumptions!$C$94:$M$94,Assumptions!$C$97:$M$97)))</f>
        <v>36380.04637</v>
      </c>
      <c r="BB7" s="54">
        <f t="array" ref="BB7">IF(BB$2=1,Assumptions!$AF7/12,(SUMIF($D$2:$EE$2,BB$2-1,$D7:$EE7)/12)*(1+XLOOKUP(BB$2,Assumptions!$C$94:$M$94,Assumptions!$C$97:$M$97)))</f>
        <v>36380.04637</v>
      </c>
      <c r="BC7" s="54">
        <f t="array" ref="BC7">IF(BC$2=1,Assumptions!$AF7/12,(SUMIF($D$2:$EE$2,BC$2-1,$D7:$EE7)/12)*(1+XLOOKUP(BC$2,Assumptions!$C$94:$M$94,Assumptions!$C$97:$M$97)))</f>
        <v>36380.04637</v>
      </c>
      <c r="BD7" s="54">
        <f t="array" ref="BD7">IF(BD$2=1,Assumptions!$AF7/12,(SUMIF($D$2:$EE$2,BD$2-1,$D7:$EE7)/12)*(1+XLOOKUP(BD$2,Assumptions!$C$94:$M$94,Assumptions!$C$97:$M$97)))</f>
        <v>36380.04637</v>
      </c>
      <c r="BE7" s="54">
        <f t="array" ref="BE7">IF(BE$2=1,Assumptions!$AF7/12,(SUMIF($D$2:$EE$2,BE$2-1,$D7:$EE7)/12)*(1+XLOOKUP(BE$2,Assumptions!$C$94:$M$94,Assumptions!$C$97:$M$97)))</f>
        <v>36380.04637</v>
      </c>
      <c r="BF7" s="54">
        <f t="array" ref="BF7">IF(BF$2=1,Assumptions!$AF7/12,(SUMIF($D$2:$EE$2,BF$2-1,$D7:$EE7)/12)*(1+XLOOKUP(BF$2,Assumptions!$C$94:$M$94,Assumptions!$C$97:$M$97)))</f>
        <v>36380.04637</v>
      </c>
      <c r="BG7" s="54">
        <f t="array" ref="BG7">IF(BG$2=1,Assumptions!$AF7/12,(SUMIF($D$2:$EE$2,BG$2-1,$D7:$EE7)/12)*(1+XLOOKUP(BG$2,Assumptions!$C$94:$M$94,Assumptions!$C$97:$M$97)))</f>
        <v>36380.04637</v>
      </c>
      <c r="BH7" s="54">
        <f t="array" ref="BH7">IF(BH$2=1,Assumptions!$AF7/12,(SUMIF($D$2:$EE$2,BH$2-1,$D7:$EE7)/12)*(1+XLOOKUP(BH$2,Assumptions!$C$94:$M$94,Assumptions!$C$97:$M$97)))</f>
        <v>36380.04637</v>
      </c>
      <c r="BI7" s="54">
        <f t="array" ref="BI7">IF(BI$2=1,Assumptions!$AF7/12,(SUMIF($D$2:$EE$2,BI$2-1,$D7:$EE7)/12)*(1+XLOOKUP(BI$2,Assumptions!$C$94:$M$94,Assumptions!$C$97:$M$97)))</f>
        <v>36380.04637</v>
      </c>
      <c r="BJ7" s="54">
        <f t="array" ref="BJ7">IF(BJ$2=1,Assumptions!$AF7/12,(SUMIF($D$2:$EE$2,BJ$2-1,$D7:$EE7)/12)*(1+XLOOKUP(BJ$2,Assumptions!$C$94:$M$94,Assumptions!$C$97:$M$97)))</f>
        <v>36380.04637</v>
      </c>
      <c r="BK7" s="54">
        <f t="array" ref="BK7">IF(BK$2=1,Assumptions!$AF7/12,(SUMIF($D$2:$EE$2,BK$2-1,$D7:$EE7)/12)*(1+XLOOKUP(BK$2,Assumptions!$C$94:$M$94,Assumptions!$C$97:$M$97)))</f>
        <v>36380.04637</v>
      </c>
      <c r="BL7" s="54">
        <f t="array" ref="BL7">IF(BL$2=1,Assumptions!$AF7/12,(SUMIF($D$2:$EE$2,BL$2-1,$D7:$EE7)/12)*(1+XLOOKUP(BL$2,Assumptions!$C$94:$M$94,Assumptions!$C$97:$M$97)))</f>
        <v>37471.44776</v>
      </c>
      <c r="BM7" s="54">
        <f t="array" ref="BM7">IF(BM$2=1,Assumptions!$AF7/12,(SUMIF($D$2:$EE$2,BM$2-1,$D7:$EE7)/12)*(1+XLOOKUP(BM$2,Assumptions!$C$94:$M$94,Assumptions!$C$97:$M$97)))</f>
        <v>37471.44776</v>
      </c>
      <c r="BN7" s="54">
        <f t="array" ref="BN7">IF(BN$2=1,Assumptions!$AF7/12,(SUMIF($D$2:$EE$2,BN$2-1,$D7:$EE7)/12)*(1+XLOOKUP(BN$2,Assumptions!$C$94:$M$94,Assumptions!$C$97:$M$97)))</f>
        <v>37471.44776</v>
      </c>
      <c r="BO7" s="54">
        <f t="array" ref="BO7">IF(BO$2=1,Assumptions!$AF7/12,(SUMIF($D$2:$EE$2,BO$2-1,$D7:$EE7)/12)*(1+XLOOKUP(BO$2,Assumptions!$C$94:$M$94,Assumptions!$C$97:$M$97)))</f>
        <v>37471.44776</v>
      </c>
      <c r="BP7" s="54">
        <f t="array" ref="BP7">IF(BP$2=1,Assumptions!$AF7/12,(SUMIF($D$2:$EE$2,BP$2-1,$D7:$EE7)/12)*(1+XLOOKUP(BP$2,Assumptions!$C$94:$M$94,Assumptions!$C$97:$M$97)))</f>
        <v>37471.44776</v>
      </c>
      <c r="BQ7" s="54">
        <f t="array" ref="BQ7">IF(BQ$2=1,Assumptions!$AF7/12,(SUMIF($D$2:$EE$2,BQ$2-1,$D7:$EE7)/12)*(1+XLOOKUP(BQ$2,Assumptions!$C$94:$M$94,Assumptions!$C$97:$M$97)))</f>
        <v>37471.44776</v>
      </c>
      <c r="BR7" s="54">
        <f t="array" ref="BR7">IF(BR$2=1,Assumptions!$AF7/12,(SUMIF($D$2:$EE$2,BR$2-1,$D7:$EE7)/12)*(1+XLOOKUP(BR$2,Assumptions!$C$94:$M$94,Assumptions!$C$97:$M$97)))</f>
        <v>37471.44776</v>
      </c>
      <c r="BS7" s="54">
        <f t="array" ref="BS7">IF(BS$2=1,Assumptions!$AF7/12,(SUMIF($D$2:$EE$2,BS$2-1,$D7:$EE7)/12)*(1+XLOOKUP(BS$2,Assumptions!$C$94:$M$94,Assumptions!$C$97:$M$97)))</f>
        <v>37471.44776</v>
      </c>
      <c r="BT7" s="54">
        <f t="array" ref="BT7">IF(BT$2=1,Assumptions!$AF7/12,(SUMIF($D$2:$EE$2,BT$2-1,$D7:$EE7)/12)*(1+XLOOKUP(BT$2,Assumptions!$C$94:$M$94,Assumptions!$C$97:$M$97)))</f>
        <v>37471.44776</v>
      </c>
      <c r="BU7" s="54">
        <f t="array" ref="BU7">IF(BU$2=1,Assumptions!$AF7/12,(SUMIF($D$2:$EE$2,BU$2-1,$D7:$EE7)/12)*(1+XLOOKUP(BU$2,Assumptions!$C$94:$M$94,Assumptions!$C$97:$M$97)))</f>
        <v>37471.44776</v>
      </c>
      <c r="BV7" s="54">
        <f t="array" ref="BV7">IF(BV$2=1,Assumptions!$AF7/12,(SUMIF($D$2:$EE$2,BV$2-1,$D7:$EE7)/12)*(1+XLOOKUP(BV$2,Assumptions!$C$94:$M$94,Assumptions!$C$97:$M$97)))</f>
        <v>37471.44776</v>
      </c>
      <c r="BW7" s="54">
        <f t="array" ref="BW7">IF(BW$2=1,Assumptions!$AF7/12,(SUMIF($D$2:$EE$2,BW$2-1,$D7:$EE7)/12)*(1+XLOOKUP(BW$2,Assumptions!$C$94:$M$94,Assumptions!$C$97:$M$97)))</f>
        <v>37471.44776</v>
      </c>
      <c r="BX7" s="54">
        <f t="array" ref="BX7">IF(BX$2=1,Assumptions!$AF7/12,(SUMIF($D$2:$EE$2,BX$2-1,$D7:$EE7)/12)*(1+XLOOKUP(BX$2,Assumptions!$C$94:$M$94,Assumptions!$C$97:$M$97)))</f>
        <v>38595.59119</v>
      </c>
      <c r="BY7" s="54">
        <f t="array" ref="BY7">IF(BY$2=1,Assumptions!$AF7/12,(SUMIF($D$2:$EE$2,BY$2-1,$D7:$EE7)/12)*(1+XLOOKUP(BY$2,Assumptions!$C$94:$M$94,Assumptions!$C$97:$M$97)))</f>
        <v>38595.59119</v>
      </c>
      <c r="BZ7" s="54">
        <f t="array" ref="BZ7">IF(BZ$2=1,Assumptions!$AF7/12,(SUMIF($D$2:$EE$2,BZ$2-1,$D7:$EE7)/12)*(1+XLOOKUP(BZ$2,Assumptions!$C$94:$M$94,Assumptions!$C$97:$M$97)))</f>
        <v>38595.59119</v>
      </c>
      <c r="CA7" s="54">
        <f t="array" ref="CA7">IF(CA$2=1,Assumptions!$AF7/12,(SUMIF($D$2:$EE$2,CA$2-1,$D7:$EE7)/12)*(1+XLOOKUP(CA$2,Assumptions!$C$94:$M$94,Assumptions!$C$97:$M$97)))</f>
        <v>38595.59119</v>
      </c>
      <c r="CB7" s="54">
        <f t="array" ref="CB7">IF(CB$2=1,Assumptions!$AF7/12,(SUMIF($D$2:$EE$2,CB$2-1,$D7:$EE7)/12)*(1+XLOOKUP(CB$2,Assumptions!$C$94:$M$94,Assumptions!$C$97:$M$97)))</f>
        <v>38595.59119</v>
      </c>
      <c r="CC7" s="54">
        <f t="array" ref="CC7">IF(CC$2=1,Assumptions!$AF7/12,(SUMIF($D$2:$EE$2,CC$2-1,$D7:$EE7)/12)*(1+XLOOKUP(CC$2,Assumptions!$C$94:$M$94,Assumptions!$C$97:$M$97)))</f>
        <v>38595.59119</v>
      </c>
      <c r="CD7" s="54">
        <f t="array" ref="CD7">IF(CD$2=1,Assumptions!$AF7/12,(SUMIF($D$2:$EE$2,CD$2-1,$D7:$EE7)/12)*(1+XLOOKUP(CD$2,Assumptions!$C$94:$M$94,Assumptions!$C$97:$M$97)))</f>
        <v>38595.59119</v>
      </c>
      <c r="CE7" s="54">
        <f t="array" ref="CE7">IF(CE$2=1,Assumptions!$AF7/12,(SUMIF($D$2:$EE$2,CE$2-1,$D7:$EE7)/12)*(1+XLOOKUP(CE$2,Assumptions!$C$94:$M$94,Assumptions!$C$97:$M$97)))</f>
        <v>38595.59119</v>
      </c>
      <c r="CF7" s="54">
        <f t="array" ref="CF7">IF(CF$2=1,Assumptions!$AF7/12,(SUMIF($D$2:$EE$2,CF$2-1,$D7:$EE7)/12)*(1+XLOOKUP(CF$2,Assumptions!$C$94:$M$94,Assumptions!$C$97:$M$97)))</f>
        <v>38595.59119</v>
      </c>
      <c r="CG7" s="54">
        <f t="array" ref="CG7">IF(CG$2=1,Assumptions!$AF7/12,(SUMIF($D$2:$EE$2,CG$2-1,$D7:$EE7)/12)*(1+XLOOKUP(CG$2,Assumptions!$C$94:$M$94,Assumptions!$C$97:$M$97)))</f>
        <v>38595.59119</v>
      </c>
      <c r="CH7" s="54">
        <f t="array" ref="CH7">IF(CH$2=1,Assumptions!$AF7/12,(SUMIF($D$2:$EE$2,CH$2-1,$D7:$EE7)/12)*(1+XLOOKUP(CH$2,Assumptions!$C$94:$M$94,Assumptions!$C$97:$M$97)))</f>
        <v>38595.59119</v>
      </c>
      <c r="CI7" s="54">
        <f t="array" ref="CI7">IF(CI$2=1,Assumptions!$AF7/12,(SUMIF($D$2:$EE$2,CI$2-1,$D7:$EE7)/12)*(1+XLOOKUP(CI$2,Assumptions!$C$94:$M$94,Assumptions!$C$97:$M$97)))</f>
        <v>38595.59119</v>
      </c>
      <c r="CJ7" s="54">
        <f t="array" ref="CJ7">IF(CJ$2=1,Assumptions!$AF7/12,(SUMIF($D$2:$EE$2,CJ$2-1,$D7:$EE7)/12)*(1+XLOOKUP(CJ$2,Assumptions!$C$94:$M$94,Assumptions!$C$97:$M$97)))</f>
        <v>39753.45893</v>
      </c>
      <c r="CK7" s="54">
        <f t="array" ref="CK7">IF(CK$2=1,Assumptions!$AF7/12,(SUMIF($D$2:$EE$2,CK$2-1,$D7:$EE7)/12)*(1+XLOOKUP(CK$2,Assumptions!$C$94:$M$94,Assumptions!$C$97:$M$97)))</f>
        <v>39753.45893</v>
      </c>
      <c r="CL7" s="54">
        <f t="array" ref="CL7">IF(CL$2=1,Assumptions!$AF7/12,(SUMIF($D$2:$EE$2,CL$2-1,$D7:$EE7)/12)*(1+XLOOKUP(CL$2,Assumptions!$C$94:$M$94,Assumptions!$C$97:$M$97)))</f>
        <v>39753.45893</v>
      </c>
      <c r="CM7" s="54">
        <f t="array" ref="CM7">IF(CM$2=1,Assumptions!$AF7/12,(SUMIF($D$2:$EE$2,CM$2-1,$D7:$EE7)/12)*(1+XLOOKUP(CM$2,Assumptions!$C$94:$M$94,Assumptions!$C$97:$M$97)))</f>
        <v>39753.45893</v>
      </c>
      <c r="CN7" s="54">
        <f t="array" ref="CN7">IF(CN$2=1,Assumptions!$AF7/12,(SUMIF($D$2:$EE$2,CN$2-1,$D7:$EE7)/12)*(1+XLOOKUP(CN$2,Assumptions!$C$94:$M$94,Assumptions!$C$97:$M$97)))</f>
        <v>39753.45893</v>
      </c>
      <c r="CO7" s="54">
        <f t="array" ref="CO7">IF(CO$2=1,Assumptions!$AF7/12,(SUMIF($D$2:$EE$2,CO$2-1,$D7:$EE7)/12)*(1+XLOOKUP(CO$2,Assumptions!$C$94:$M$94,Assumptions!$C$97:$M$97)))</f>
        <v>39753.45893</v>
      </c>
      <c r="CP7" s="54">
        <f t="array" ref="CP7">IF(CP$2=1,Assumptions!$AF7/12,(SUMIF($D$2:$EE$2,CP$2-1,$D7:$EE7)/12)*(1+XLOOKUP(CP$2,Assumptions!$C$94:$M$94,Assumptions!$C$97:$M$97)))</f>
        <v>39753.45893</v>
      </c>
      <c r="CQ7" s="54">
        <f t="array" ref="CQ7">IF(CQ$2=1,Assumptions!$AF7/12,(SUMIF($D$2:$EE$2,CQ$2-1,$D7:$EE7)/12)*(1+XLOOKUP(CQ$2,Assumptions!$C$94:$M$94,Assumptions!$C$97:$M$97)))</f>
        <v>39753.45893</v>
      </c>
      <c r="CR7" s="54">
        <f t="array" ref="CR7">IF(CR$2=1,Assumptions!$AF7/12,(SUMIF($D$2:$EE$2,CR$2-1,$D7:$EE7)/12)*(1+XLOOKUP(CR$2,Assumptions!$C$94:$M$94,Assumptions!$C$97:$M$97)))</f>
        <v>39753.45893</v>
      </c>
      <c r="CS7" s="54">
        <f t="array" ref="CS7">IF(CS$2=1,Assumptions!$AF7/12,(SUMIF($D$2:$EE$2,CS$2-1,$D7:$EE7)/12)*(1+XLOOKUP(CS$2,Assumptions!$C$94:$M$94,Assumptions!$C$97:$M$97)))</f>
        <v>39753.45893</v>
      </c>
      <c r="CT7" s="54">
        <f t="array" ref="CT7">IF(CT$2=1,Assumptions!$AF7/12,(SUMIF($D$2:$EE$2,CT$2-1,$D7:$EE7)/12)*(1+XLOOKUP(CT$2,Assumptions!$C$94:$M$94,Assumptions!$C$97:$M$97)))</f>
        <v>39753.45893</v>
      </c>
      <c r="CU7" s="54">
        <f t="array" ref="CU7">IF(CU$2=1,Assumptions!$AF7/12,(SUMIF($D$2:$EE$2,CU$2-1,$D7:$EE7)/12)*(1+XLOOKUP(CU$2,Assumptions!$C$94:$M$94,Assumptions!$C$97:$M$97)))</f>
        <v>39753.45893</v>
      </c>
      <c r="CV7" s="54">
        <f t="array" ref="CV7">IF(CV$2=1,Assumptions!$AF7/12,(SUMIF($D$2:$EE$2,CV$2-1,$D7:$EE7)/12)*(1+XLOOKUP(CV$2,Assumptions!$C$94:$M$94,Assumptions!$C$97:$M$97)))</f>
        <v>40946.06269</v>
      </c>
      <c r="CW7" s="54">
        <f t="array" ref="CW7">IF(CW$2=1,Assumptions!$AF7/12,(SUMIF($D$2:$EE$2,CW$2-1,$D7:$EE7)/12)*(1+XLOOKUP(CW$2,Assumptions!$C$94:$M$94,Assumptions!$C$97:$M$97)))</f>
        <v>40946.06269</v>
      </c>
      <c r="CX7" s="54">
        <f t="array" ref="CX7">IF(CX$2=1,Assumptions!$AF7/12,(SUMIF($D$2:$EE$2,CX$2-1,$D7:$EE7)/12)*(1+XLOOKUP(CX$2,Assumptions!$C$94:$M$94,Assumptions!$C$97:$M$97)))</f>
        <v>40946.06269</v>
      </c>
      <c r="CY7" s="54">
        <f t="array" ref="CY7">IF(CY$2=1,Assumptions!$AF7/12,(SUMIF($D$2:$EE$2,CY$2-1,$D7:$EE7)/12)*(1+XLOOKUP(CY$2,Assumptions!$C$94:$M$94,Assumptions!$C$97:$M$97)))</f>
        <v>40946.06269</v>
      </c>
      <c r="CZ7" s="54">
        <f t="array" ref="CZ7">IF(CZ$2=1,Assumptions!$AF7/12,(SUMIF($D$2:$EE$2,CZ$2-1,$D7:$EE7)/12)*(1+XLOOKUP(CZ$2,Assumptions!$C$94:$M$94,Assumptions!$C$97:$M$97)))</f>
        <v>40946.06269</v>
      </c>
      <c r="DA7" s="54">
        <f t="array" ref="DA7">IF(DA$2=1,Assumptions!$AF7/12,(SUMIF($D$2:$EE$2,DA$2-1,$D7:$EE7)/12)*(1+XLOOKUP(DA$2,Assumptions!$C$94:$M$94,Assumptions!$C$97:$M$97)))</f>
        <v>40946.06269</v>
      </c>
      <c r="DB7" s="54">
        <f t="array" ref="DB7">IF(DB$2=1,Assumptions!$AF7/12,(SUMIF($D$2:$EE$2,DB$2-1,$D7:$EE7)/12)*(1+XLOOKUP(DB$2,Assumptions!$C$94:$M$94,Assumptions!$C$97:$M$97)))</f>
        <v>40946.06269</v>
      </c>
      <c r="DC7" s="54">
        <f t="array" ref="DC7">IF(DC$2=1,Assumptions!$AF7/12,(SUMIF($D$2:$EE$2,DC$2-1,$D7:$EE7)/12)*(1+XLOOKUP(DC$2,Assumptions!$C$94:$M$94,Assumptions!$C$97:$M$97)))</f>
        <v>40946.06269</v>
      </c>
      <c r="DD7" s="54">
        <f t="array" ref="DD7">IF(DD$2=1,Assumptions!$AF7/12,(SUMIF($D$2:$EE$2,DD$2-1,$D7:$EE7)/12)*(1+XLOOKUP(DD$2,Assumptions!$C$94:$M$94,Assumptions!$C$97:$M$97)))</f>
        <v>40946.06269</v>
      </c>
      <c r="DE7" s="54">
        <f t="array" ref="DE7">IF(DE$2=1,Assumptions!$AF7/12,(SUMIF($D$2:$EE$2,DE$2-1,$D7:$EE7)/12)*(1+XLOOKUP(DE$2,Assumptions!$C$94:$M$94,Assumptions!$C$97:$M$97)))</f>
        <v>40946.06269</v>
      </c>
      <c r="DF7" s="54">
        <f t="array" ref="DF7">IF(DF$2=1,Assumptions!$AF7/12,(SUMIF($D$2:$EE$2,DF$2-1,$D7:$EE7)/12)*(1+XLOOKUP(DF$2,Assumptions!$C$94:$M$94,Assumptions!$C$97:$M$97)))</f>
        <v>40946.06269</v>
      </c>
      <c r="DG7" s="54">
        <f t="array" ref="DG7">IF(DG$2=1,Assumptions!$AF7/12,(SUMIF($D$2:$EE$2,DG$2-1,$D7:$EE7)/12)*(1+XLOOKUP(DG$2,Assumptions!$C$94:$M$94,Assumptions!$C$97:$M$97)))</f>
        <v>40946.06269</v>
      </c>
      <c r="DH7" s="54">
        <f t="array" ref="DH7">IF(DH$2=1,Assumptions!$AF7/12,(SUMIF($D$2:$EE$2,DH$2-1,$D7:$EE7)/12)*(1+XLOOKUP(DH$2,Assumptions!$C$94:$M$94,Assumptions!$C$97:$M$97)))</f>
        <v>42174.44458</v>
      </c>
      <c r="DI7" s="54">
        <f t="array" ref="DI7">IF(DI$2=1,Assumptions!$AF7/12,(SUMIF($D$2:$EE$2,DI$2-1,$D7:$EE7)/12)*(1+XLOOKUP(DI$2,Assumptions!$C$94:$M$94,Assumptions!$C$97:$M$97)))</f>
        <v>42174.44458</v>
      </c>
      <c r="DJ7" s="54">
        <f t="array" ref="DJ7">IF(DJ$2=1,Assumptions!$AF7/12,(SUMIF($D$2:$EE$2,DJ$2-1,$D7:$EE7)/12)*(1+XLOOKUP(DJ$2,Assumptions!$C$94:$M$94,Assumptions!$C$97:$M$97)))</f>
        <v>42174.44458</v>
      </c>
      <c r="DK7" s="54">
        <f t="array" ref="DK7">IF(DK$2=1,Assumptions!$AF7/12,(SUMIF($D$2:$EE$2,DK$2-1,$D7:$EE7)/12)*(1+XLOOKUP(DK$2,Assumptions!$C$94:$M$94,Assumptions!$C$97:$M$97)))</f>
        <v>42174.44458</v>
      </c>
      <c r="DL7" s="54">
        <f t="array" ref="DL7">IF(DL$2=1,Assumptions!$AF7/12,(SUMIF($D$2:$EE$2,DL$2-1,$D7:$EE7)/12)*(1+XLOOKUP(DL$2,Assumptions!$C$94:$M$94,Assumptions!$C$97:$M$97)))</f>
        <v>42174.44458</v>
      </c>
      <c r="DM7" s="54">
        <f t="array" ref="DM7">IF(DM$2=1,Assumptions!$AF7/12,(SUMIF($D$2:$EE$2,DM$2-1,$D7:$EE7)/12)*(1+XLOOKUP(DM$2,Assumptions!$C$94:$M$94,Assumptions!$C$97:$M$97)))</f>
        <v>42174.44458</v>
      </c>
      <c r="DN7" s="54">
        <f t="array" ref="DN7">IF(DN$2=1,Assumptions!$AF7/12,(SUMIF($D$2:$EE$2,DN$2-1,$D7:$EE7)/12)*(1+XLOOKUP(DN$2,Assumptions!$C$94:$M$94,Assumptions!$C$97:$M$97)))</f>
        <v>42174.44458</v>
      </c>
      <c r="DO7" s="54">
        <f t="array" ref="DO7">IF(DO$2=1,Assumptions!$AF7/12,(SUMIF($D$2:$EE$2,DO$2-1,$D7:$EE7)/12)*(1+XLOOKUP(DO$2,Assumptions!$C$94:$M$94,Assumptions!$C$97:$M$97)))</f>
        <v>42174.44458</v>
      </c>
      <c r="DP7" s="54">
        <f t="array" ref="DP7">IF(DP$2=1,Assumptions!$AF7/12,(SUMIF($D$2:$EE$2,DP$2-1,$D7:$EE7)/12)*(1+XLOOKUP(DP$2,Assumptions!$C$94:$M$94,Assumptions!$C$97:$M$97)))</f>
        <v>42174.44458</v>
      </c>
      <c r="DQ7" s="54">
        <f t="array" ref="DQ7">IF(DQ$2=1,Assumptions!$AF7/12,(SUMIF($D$2:$EE$2,DQ$2-1,$D7:$EE7)/12)*(1+XLOOKUP(DQ$2,Assumptions!$C$94:$M$94,Assumptions!$C$97:$M$97)))</f>
        <v>42174.44458</v>
      </c>
      <c r="DR7" s="54">
        <f t="array" ref="DR7">IF(DR$2=1,Assumptions!$AF7/12,(SUMIF($D$2:$EE$2,DR$2-1,$D7:$EE7)/12)*(1+XLOOKUP(DR$2,Assumptions!$C$94:$M$94,Assumptions!$C$97:$M$97)))</f>
        <v>42174.44458</v>
      </c>
      <c r="DS7" s="54">
        <f t="array" ref="DS7">IF(DS$2=1,Assumptions!$AF7/12,(SUMIF($D$2:$EE$2,DS$2-1,$D7:$EE7)/12)*(1+XLOOKUP(DS$2,Assumptions!$C$94:$M$94,Assumptions!$C$97:$M$97)))</f>
        <v>42174.44458</v>
      </c>
      <c r="DT7" s="54">
        <f t="array" ref="DT7">IF(DT$2=1,Assumptions!$AF7/12,(SUMIF($D$2:$EE$2,DT$2-1,$D7:$EE7)/12)*(1+XLOOKUP(DT$2,Assumptions!$C$94:$M$94,Assumptions!$C$97:$M$97)))</f>
        <v>43439.67791</v>
      </c>
      <c r="DU7" s="54">
        <f t="array" ref="DU7">IF(DU$2=1,Assumptions!$AF7/12,(SUMIF($D$2:$EE$2,DU$2-1,$D7:$EE7)/12)*(1+XLOOKUP(DU$2,Assumptions!$C$94:$M$94,Assumptions!$C$97:$M$97)))</f>
        <v>43439.67791</v>
      </c>
      <c r="DV7" s="54">
        <f t="array" ref="DV7">IF(DV$2=1,Assumptions!$AF7/12,(SUMIF($D$2:$EE$2,DV$2-1,$D7:$EE7)/12)*(1+XLOOKUP(DV$2,Assumptions!$C$94:$M$94,Assumptions!$C$97:$M$97)))</f>
        <v>43439.67791</v>
      </c>
      <c r="DW7" s="54">
        <f t="array" ref="DW7">IF(DW$2=1,Assumptions!$AF7/12,(SUMIF($D$2:$EE$2,DW$2-1,$D7:$EE7)/12)*(1+XLOOKUP(DW$2,Assumptions!$C$94:$M$94,Assumptions!$C$97:$M$97)))</f>
        <v>43439.67791</v>
      </c>
      <c r="DX7" s="54">
        <f t="array" ref="DX7">IF(DX$2=1,Assumptions!$AF7/12,(SUMIF($D$2:$EE$2,DX$2-1,$D7:$EE7)/12)*(1+XLOOKUP(DX$2,Assumptions!$C$94:$M$94,Assumptions!$C$97:$M$97)))</f>
        <v>43439.67791</v>
      </c>
      <c r="DY7" s="54">
        <f t="array" ref="DY7">IF(DY$2=1,Assumptions!$AF7/12,(SUMIF($D$2:$EE$2,DY$2-1,$D7:$EE7)/12)*(1+XLOOKUP(DY$2,Assumptions!$C$94:$M$94,Assumptions!$C$97:$M$97)))</f>
        <v>43439.67791</v>
      </c>
      <c r="DZ7" s="54">
        <f t="array" ref="DZ7">IF(DZ$2=1,Assumptions!$AF7/12,(SUMIF($D$2:$EE$2,DZ$2-1,$D7:$EE7)/12)*(1+XLOOKUP(DZ$2,Assumptions!$C$94:$M$94,Assumptions!$C$97:$M$97)))</f>
        <v>43439.67791</v>
      </c>
      <c r="EA7" s="54">
        <f t="array" ref="EA7">IF(EA$2=1,Assumptions!$AF7/12,(SUMIF($D$2:$EE$2,EA$2-1,$D7:$EE7)/12)*(1+XLOOKUP(EA$2,Assumptions!$C$94:$M$94,Assumptions!$C$97:$M$97)))</f>
        <v>43439.67791</v>
      </c>
      <c r="EB7" s="54">
        <f t="array" ref="EB7">IF(EB$2=1,Assumptions!$AF7/12,(SUMIF($D$2:$EE$2,EB$2-1,$D7:$EE7)/12)*(1+XLOOKUP(EB$2,Assumptions!$C$94:$M$94,Assumptions!$C$97:$M$97)))</f>
        <v>43439.67791</v>
      </c>
      <c r="EC7" s="54">
        <f t="array" ref="EC7">IF(EC$2=1,Assumptions!$AF7/12,(SUMIF($D$2:$EE$2,EC$2-1,$D7:$EE7)/12)*(1+XLOOKUP(EC$2,Assumptions!$C$94:$M$94,Assumptions!$C$97:$M$97)))</f>
        <v>43439.67791</v>
      </c>
      <c r="ED7" s="54">
        <f t="array" ref="ED7">IF(ED$2=1,Assumptions!$AF7/12,(SUMIF($D$2:$EE$2,ED$2-1,$D7:$EE7)/12)*(1+XLOOKUP(ED$2,Assumptions!$C$94:$M$94,Assumptions!$C$97:$M$97)))</f>
        <v>43439.67791</v>
      </c>
      <c r="EE7" s="54">
        <f t="array" ref="EE7">IF(EE$2=1,Assumptions!$AF7/12,(SUMIF($D$2:$EE$2,EE$2-1,$D7:$EE7)/12)*(1+XLOOKUP(EE$2,Assumptions!$C$94:$M$94,Assumptions!$C$97:$M$97)))</f>
        <v>43439.67791</v>
      </c>
    </row>
    <row r="8" ht="15.75" customHeight="1">
      <c r="A8" s="1"/>
      <c r="B8" s="1"/>
      <c r="C8" s="1" t="str">
        <f>Assumptions!Z8</f>
        <v>3x2</v>
      </c>
      <c r="D8" s="54">
        <f t="array" ref="D8">IF(D$2=1,Assumptions!$AF8/12,(SUMIF($D$2:$EE$2,D$2-1,$D8:$EE8)/12)*(1+XLOOKUP(D$2,Assumptions!$C$94:$M$94,Assumptions!$C$97:$M$97)))</f>
        <v>42537.6</v>
      </c>
      <c r="E8" s="54">
        <f t="array" ref="E8">IF(E$2=1,Assumptions!$AF8/12,(SUMIF($D$2:$EE$2,E$2-1,$D8:$EE8)/12)*(1+XLOOKUP(E$2,Assumptions!$C$94:$M$94,Assumptions!$C$97:$M$97)))</f>
        <v>42537.6</v>
      </c>
      <c r="F8" s="54">
        <f t="array" ref="F8">IF(F$2=1,Assumptions!$AF8/12,(SUMIF($D$2:$EE$2,F$2-1,$D8:$EE8)/12)*(1+XLOOKUP(F$2,Assumptions!$C$94:$M$94,Assumptions!$C$97:$M$97)))</f>
        <v>42537.6</v>
      </c>
      <c r="G8" s="54">
        <f t="array" ref="G8">IF(G$2=1,Assumptions!$AF8/12,(SUMIF($D$2:$EE$2,G$2-1,$D8:$EE8)/12)*(1+XLOOKUP(G$2,Assumptions!$C$94:$M$94,Assumptions!$C$97:$M$97)))</f>
        <v>42537.6</v>
      </c>
      <c r="H8" s="54">
        <f t="array" ref="H8">IF(H$2=1,Assumptions!$AF8/12,(SUMIF($D$2:$EE$2,H$2-1,$D8:$EE8)/12)*(1+XLOOKUP(H$2,Assumptions!$C$94:$M$94,Assumptions!$C$97:$M$97)))</f>
        <v>42537.6</v>
      </c>
      <c r="I8" s="54">
        <f t="array" ref="I8">IF(I$2=1,Assumptions!$AF8/12,(SUMIF($D$2:$EE$2,I$2-1,$D8:$EE8)/12)*(1+XLOOKUP(I$2,Assumptions!$C$94:$M$94,Assumptions!$C$97:$M$97)))</f>
        <v>42537.6</v>
      </c>
      <c r="J8" s="54">
        <f t="array" ref="J8">IF(J$2=1,Assumptions!$AF8/12,(SUMIF($D$2:$EE$2,J$2-1,$D8:$EE8)/12)*(1+XLOOKUP(J$2,Assumptions!$C$94:$M$94,Assumptions!$C$97:$M$97)))</f>
        <v>42537.6</v>
      </c>
      <c r="K8" s="54">
        <f t="array" ref="K8">IF(K$2=1,Assumptions!$AF8/12,(SUMIF($D$2:$EE$2,K$2-1,$D8:$EE8)/12)*(1+XLOOKUP(K$2,Assumptions!$C$94:$M$94,Assumptions!$C$97:$M$97)))</f>
        <v>42537.6</v>
      </c>
      <c r="L8" s="54">
        <f t="array" ref="L8">IF(L$2=1,Assumptions!$AF8/12,(SUMIF($D$2:$EE$2,L$2-1,$D8:$EE8)/12)*(1+XLOOKUP(L$2,Assumptions!$C$94:$M$94,Assumptions!$C$97:$M$97)))</f>
        <v>42537.6</v>
      </c>
      <c r="M8" s="54">
        <f t="array" ref="M8">IF(M$2=1,Assumptions!$AF8/12,(SUMIF($D$2:$EE$2,M$2-1,$D8:$EE8)/12)*(1+XLOOKUP(M$2,Assumptions!$C$94:$M$94,Assumptions!$C$97:$M$97)))</f>
        <v>42537.6</v>
      </c>
      <c r="N8" s="54">
        <f t="array" ref="N8">IF(N$2=1,Assumptions!$AF8/12,(SUMIF($D$2:$EE$2,N$2-1,$D8:$EE8)/12)*(1+XLOOKUP(N$2,Assumptions!$C$94:$M$94,Assumptions!$C$97:$M$97)))</f>
        <v>42537.6</v>
      </c>
      <c r="O8" s="54">
        <f t="array" ref="O8">IF(O$2=1,Assumptions!$AF8/12,(SUMIF($D$2:$EE$2,O$2-1,$D8:$EE8)/12)*(1+XLOOKUP(O$2,Assumptions!$C$94:$M$94,Assumptions!$C$97:$M$97)))</f>
        <v>42537.6</v>
      </c>
      <c r="P8" s="54">
        <f t="array" ref="P8">IF(P$2=1,Assumptions!$AF8/12,(SUMIF($D$2:$EE$2,P$2-1,$D8:$EE8)/12)*(1+XLOOKUP(P$2,Assumptions!$C$94:$M$94,Assumptions!$C$97:$M$97)))</f>
        <v>43813.728</v>
      </c>
      <c r="Q8" s="54">
        <f t="array" ref="Q8">IF(Q$2=1,Assumptions!$AF8/12,(SUMIF($D$2:$EE$2,Q$2-1,$D8:$EE8)/12)*(1+XLOOKUP(Q$2,Assumptions!$C$94:$M$94,Assumptions!$C$97:$M$97)))</f>
        <v>43813.728</v>
      </c>
      <c r="R8" s="54">
        <f t="array" ref="R8">IF(R$2=1,Assumptions!$AF8/12,(SUMIF($D$2:$EE$2,R$2-1,$D8:$EE8)/12)*(1+XLOOKUP(R$2,Assumptions!$C$94:$M$94,Assumptions!$C$97:$M$97)))</f>
        <v>43813.728</v>
      </c>
      <c r="S8" s="54">
        <f t="array" ref="S8">IF(S$2=1,Assumptions!$AF8/12,(SUMIF($D$2:$EE$2,S$2-1,$D8:$EE8)/12)*(1+XLOOKUP(S$2,Assumptions!$C$94:$M$94,Assumptions!$C$97:$M$97)))</f>
        <v>43813.728</v>
      </c>
      <c r="T8" s="54">
        <f t="array" ref="T8">IF(T$2=1,Assumptions!$AF8/12,(SUMIF($D$2:$EE$2,T$2-1,$D8:$EE8)/12)*(1+XLOOKUP(T$2,Assumptions!$C$94:$M$94,Assumptions!$C$97:$M$97)))</f>
        <v>43813.728</v>
      </c>
      <c r="U8" s="54">
        <f t="array" ref="U8">IF(U$2=1,Assumptions!$AF8/12,(SUMIF($D$2:$EE$2,U$2-1,$D8:$EE8)/12)*(1+XLOOKUP(U$2,Assumptions!$C$94:$M$94,Assumptions!$C$97:$M$97)))</f>
        <v>43813.728</v>
      </c>
      <c r="V8" s="54">
        <f t="array" ref="V8">IF(V$2=1,Assumptions!$AF8/12,(SUMIF($D$2:$EE$2,V$2-1,$D8:$EE8)/12)*(1+XLOOKUP(V$2,Assumptions!$C$94:$M$94,Assumptions!$C$97:$M$97)))</f>
        <v>43813.728</v>
      </c>
      <c r="W8" s="54">
        <f t="array" ref="W8">IF(W$2=1,Assumptions!$AF8/12,(SUMIF($D$2:$EE$2,W$2-1,$D8:$EE8)/12)*(1+XLOOKUP(W$2,Assumptions!$C$94:$M$94,Assumptions!$C$97:$M$97)))</f>
        <v>43813.728</v>
      </c>
      <c r="X8" s="54">
        <f t="array" ref="X8">IF(X$2=1,Assumptions!$AF8/12,(SUMIF($D$2:$EE$2,X$2-1,$D8:$EE8)/12)*(1+XLOOKUP(X$2,Assumptions!$C$94:$M$94,Assumptions!$C$97:$M$97)))</f>
        <v>43813.728</v>
      </c>
      <c r="Y8" s="54">
        <f t="array" ref="Y8">IF(Y$2=1,Assumptions!$AF8/12,(SUMIF($D$2:$EE$2,Y$2-1,$D8:$EE8)/12)*(1+XLOOKUP(Y$2,Assumptions!$C$94:$M$94,Assumptions!$C$97:$M$97)))</f>
        <v>43813.728</v>
      </c>
      <c r="Z8" s="54">
        <f t="array" ref="Z8">IF(Z$2=1,Assumptions!$AF8/12,(SUMIF($D$2:$EE$2,Z$2-1,$D8:$EE8)/12)*(1+XLOOKUP(Z$2,Assumptions!$C$94:$M$94,Assumptions!$C$97:$M$97)))</f>
        <v>43813.728</v>
      </c>
      <c r="AA8" s="54">
        <f t="array" ref="AA8">IF(AA$2=1,Assumptions!$AF8/12,(SUMIF($D$2:$EE$2,AA$2-1,$D8:$EE8)/12)*(1+XLOOKUP(AA$2,Assumptions!$C$94:$M$94,Assumptions!$C$97:$M$97)))</f>
        <v>43813.728</v>
      </c>
      <c r="AB8" s="54">
        <f t="array" ref="AB8">IF(AB$2=1,Assumptions!$AF8/12,(SUMIF($D$2:$EE$2,AB$2-1,$D8:$EE8)/12)*(1+XLOOKUP(AB$2,Assumptions!$C$94:$M$94,Assumptions!$C$97:$M$97)))</f>
        <v>45128.13984</v>
      </c>
      <c r="AC8" s="54">
        <f t="array" ref="AC8">IF(AC$2=1,Assumptions!$AF8/12,(SUMIF($D$2:$EE$2,AC$2-1,$D8:$EE8)/12)*(1+XLOOKUP(AC$2,Assumptions!$C$94:$M$94,Assumptions!$C$97:$M$97)))</f>
        <v>45128.13984</v>
      </c>
      <c r="AD8" s="54">
        <f t="array" ref="AD8">IF(AD$2=1,Assumptions!$AF8/12,(SUMIF($D$2:$EE$2,AD$2-1,$D8:$EE8)/12)*(1+XLOOKUP(AD$2,Assumptions!$C$94:$M$94,Assumptions!$C$97:$M$97)))</f>
        <v>45128.13984</v>
      </c>
      <c r="AE8" s="54">
        <f t="array" ref="AE8">IF(AE$2=1,Assumptions!$AF8/12,(SUMIF($D$2:$EE$2,AE$2-1,$D8:$EE8)/12)*(1+XLOOKUP(AE$2,Assumptions!$C$94:$M$94,Assumptions!$C$97:$M$97)))</f>
        <v>45128.13984</v>
      </c>
      <c r="AF8" s="54">
        <f t="array" ref="AF8">IF(AF$2=1,Assumptions!$AF8/12,(SUMIF($D$2:$EE$2,AF$2-1,$D8:$EE8)/12)*(1+XLOOKUP(AF$2,Assumptions!$C$94:$M$94,Assumptions!$C$97:$M$97)))</f>
        <v>45128.13984</v>
      </c>
      <c r="AG8" s="54">
        <f t="array" ref="AG8">IF(AG$2=1,Assumptions!$AF8/12,(SUMIF($D$2:$EE$2,AG$2-1,$D8:$EE8)/12)*(1+XLOOKUP(AG$2,Assumptions!$C$94:$M$94,Assumptions!$C$97:$M$97)))</f>
        <v>45128.13984</v>
      </c>
      <c r="AH8" s="54">
        <f t="array" ref="AH8">IF(AH$2=1,Assumptions!$AF8/12,(SUMIF($D$2:$EE$2,AH$2-1,$D8:$EE8)/12)*(1+XLOOKUP(AH$2,Assumptions!$C$94:$M$94,Assumptions!$C$97:$M$97)))</f>
        <v>45128.13984</v>
      </c>
      <c r="AI8" s="54">
        <f t="array" ref="AI8">IF(AI$2=1,Assumptions!$AF8/12,(SUMIF($D$2:$EE$2,AI$2-1,$D8:$EE8)/12)*(1+XLOOKUP(AI$2,Assumptions!$C$94:$M$94,Assumptions!$C$97:$M$97)))</f>
        <v>45128.13984</v>
      </c>
      <c r="AJ8" s="54">
        <f t="array" ref="AJ8">IF(AJ$2=1,Assumptions!$AF8/12,(SUMIF($D$2:$EE$2,AJ$2-1,$D8:$EE8)/12)*(1+XLOOKUP(AJ$2,Assumptions!$C$94:$M$94,Assumptions!$C$97:$M$97)))</f>
        <v>45128.13984</v>
      </c>
      <c r="AK8" s="54">
        <f t="array" ref="AK8">IF(AK$2=1,Assumptions!$AF8/12,(SUMIF($D$2:$EE$2,AK$2-1,$D8:$EE8)/12)*(1+XLOOKUP(AK$2,Assumptions!$C$94:$M$94,Assumptions!$C$97:$M$97)))</f>
        <v>45128.13984</v>
      </c>
      <c r="AL8" s="54">
        <f t="array" ref="AL8">IF(AL$2=1,Assumptions!$AF8/12,(SUMIF($D$2:$EE$2,AL$2-1,$D8:$EE8)/12)*(1+XLOOKUP(AL$2,Assumptions!$C$94:$M$94,Assumptions!$C$97:$M$97)))</f>
        <v>45128.13984</v>
      </c>
      <c r="AM8" s="54">
        <f t="array" ref="AM8">IF(AM$2=1,Assumptions!$AF8/12,(SUMIF($D$2:$EE$2,AM$2-1,$D8:$EE8)/12)*(1+XLOOKUP(AM$2,Assumptions!$C$94:$M$94,Assumptions!$C$97:$M$97)))</f>
        <v>45128.13984</v>
      </c>
      <c r="AN8" s="54">
        <f t="array" ref="AN8">IF(AN$2=1,Assumptions!$AF8/12,(SUMIF($D$2:$EE$2,AN$2-1,$D8:$EE8)/12)*(1+XLOOKUP(AN$2,Assumptions!$C$94:$M$94,Assumptions!$C$97:$M$97)))</f>
        <v>46481.98404</v>
      </c>
      <c r="AO8" s="54">
        <f t="array" ref="AO8">IF(AO$2=1,Assumptions!$AF8/12,(SUMIF($D$2:$EE$2,AO$2-1,$D8:$EE8)/12)*(1+XLOOKUP(AO$2,Assumptions!$C$94:$M$94,Assumptions!$C$97:$M$97)))</f>
        <v>46481.98404</v>
      </c>
      <c r="AP8" s="54">
        <f t="array" ref="AP8">IF(AP$2=1,Assumptions!$AF8/12,(SUMIF($D$2:$EE$2,AP$2-1,$D8:$EE8)/12)*(1+XLOOKUP(AP$2,Assumptions!$C$94:$M$94,Assumptions!$C$97:$M$97)))</f>
        <v>46481.98404</v>
      </c>
      <c r="AQ8" s="54">
        <f t="array" ref="AQ8">IF(AQ$2=1,Assumptions!$AF8/12,(SUMIF($D$2:$EE$2,AQ$2-1,$D8:$EE8)/12)*(1+XLOOKUP(AQ$2,Assumptions!$C$94:$M$94,Assumptions!$C$97:$M$97)))</f>
        <v>46481.98404</v>
      </c>
      <c r="AR8" s="54">
        <f t="array" ref="AR8">IF(AR$2=1,Assumptions!$AF8/12,(SUMIF($D$2:$EE$2,AR$2-1,$D8:$EE8)/12)*(1+XLOOKUP(AR$2,Assumptions!$C$94:$M$94,Assumptions!$C$97:$M$97)))</f>
        <v>46481.98404</v>
      </c>
      <c r="AS8" s="54">
        <f t="array" ref="AS8">IF(AS$2=1,Assumptions!$AF8/12,(SUMIF($D$2:$EE$2,AS$2-1,$D8:$EE8)/12)*(1+XLOOKUP(AS$2,Assumptions!$C$94:$M$94,Assumptions!$C$97:$M$97)))</f>
        <v>46481.98404</v>
      </c>
      <c r="AT8" s="54">
        <f t="array" ref="AT8">IF(AT$2=1,Assumptions!$AF8/12,(SUMIF($D$2:$EE$2,AT$2-1,$D8:$EE8)/12)*(1+XLOOKUP(AT$2,Assumptions!$C$94:$M$94,Assumptions!$C$97:$M$97)))</f>
        <v>46481.98404</v>
      </c>
      <c r="AU8" s="54">
        <f t="array" ref="AU8">IF(AU$2=1,Assumptions!$AF8/12,(SUMIF($D$2:$EE$2,AU$2-1,$D8:$EE8)/12)*(1+XLOOKUP(AU$2,Assumptions!$C$94:$M$94,Assumptions!$C$97:$M$97)))</f>
        <v>46481.98404</v>
      </c>
      <c r="AV8" s="54">
        <f t="array" ref="AV8">IF(AV$2=1,Assumptions!$AF8/12,(SUMIF($D$2:$EE$2,AV$2-1,$D8:$EE8)/12)*(1+XLOOKUP(AV$2,Assumptions!$C$94:$M$94,Assumptions!$C$97:$M$97)))</f>
        <v>46481.98404</v>
      </c>
      <c r="AW8" s="54">
        <f t="array" ref="AW8">IF(AW$2=1,Assumptions!$AF8/12,(SUMIF($D$2:$EE$2,AW$2-1,$D8:$EE8)/12)*(1+XLOOKUP(AW$2,Assumptions!$C$94:$M$94,Assumptions!$C$97:$M$97)))</f>
        <v>46481.98404</v>
      </c>
      <c r="AX8" s="54">
        <f t="array" ref="AX8">IF(AX$2=1,Assumptions!$AF8/12,(SUMIF($D$2:$EE$2,AX$2-1,$D8:$EE8)/12)*(1+XLOOKUP(AX$2,Assumptions!$C$94:$M$94,Assumptions!$C$97:$M$97)))</f>
        <v>46481.98404</v>
      </c>
      <c r="AY8" s="54">
        <f t="array" ref="AY8">IF(AY$2=1,Assumptions!$AF8/12,(SUMIF($D$2:$EE$2,AY$2-1,$D8:$EE8)/12)*(1+XLOOKUP(AY$2,Assumptions!$C$94:$M$94,Assumptions!$C$97:$M$97)))</f>
        <v>46481.98404</v>
      </c>
      <c r="AZ8" s="54">
        <f t="array" ref="AZ8">IF(AZ$2=1,Assumptions!$AF8/12,(SUMIF($D$2:$EE$2,AZ$2-1,$D8:$EE8)/12)*(1+XLOOKUP(AZ$2,Assumptions!$C$94:$M$94,Assumptions!$C$97:$M$97)))</f>
        <v>47876.44356</v>
      </c>
      <c r="BA8" s="54">
        <f t="array" ref="BA8">IF(BA$2=1,Assumptions!$AF8/12,(SUMIF($D$2:$EE$2,BA$2-1,$D8:$EE8)/12)*(1+XLOOKUP(BA$2,Assumptions!$C$94:$M$94,Assumptions!$C$97:$M$97)))</f>
        <v>47876.44356</v>
      </c>
      <c r="BB8" s="54">
        <f t="array" ref="BB8">IF(BB$2=1,Assumptions!$AF8/12,(SUMIF($D$2:$EE$2,BB$2-1,$D8:$EE8)/12)*(1+XLOOKUP(BB$2,Assumptions!$C$94:$M$94,Assumptions!$C$97:$M$97)))</f>
        <v>47876.44356</v>
      </c>
      <c r="BC8" s="54">
        <f t="array" ref="BC8">IF(BC$2=1,Assumptions!$AF8/12,(SUMIF($D$2:$EE$2,BC$2-1,$D8:$EE8)/12)*(1+XLOOKUP(BC$2,Assumptions!$C$94:$M$94,Assumptions!$C$97:$M$97)))</f>
        <v>47876.44356</v>
      </c>
      <c r="BD8" s="54">
        <f t="array" ref="BD8">IF(BD$2=1,Assumptions!$AF8/12,(SUMIF($D$2:$EE$2,BD$2-1,$D8:$EE8)/12)*(1+XLOOKUP(BD$2,Assumptions!$C$94:$M$94,Assumptions!$C$97:$M$97)))</f>
        <v>47876.44356</v>
      </c>
      <c r="BE8" s="54">
        <f t="array" ref="BE8">IF(BE$2=1,Assumptions!$AF8/12,(SUMIF($D$2:$EE$2,BE$2-1,$D8:$EE8)/12)*(1+XLOOKUP(BE$2,Assumptions!$C$94:$M$94,Assumptions!$C$97:$M$97)))</f>
        <v>47876.44356</v>
      </c>
      <c r="BF8" s="54">
        <f t="array" ref="BF8">IF(BF$2=1,Assumptions!$AF8/12,(SUMIF($D$2:$EE$2,BF$2-1,$D8:$EE8)/12)*(1+XLOOKUP(BF$2,Assumptions!$C$94:$M$94,Assumptions!$C$97:$M$97)))</f>
        <v>47876.44356</v>
      </c>
      <c r="BG8" s="54">
        <f t="array" ref="BG8">IF(BG$2=1,Assumptions!$AF8/12,(SUMIF($D$2:$EE$2,BG$2-1,$D8:$EE8)/12)*(1+XLOOKUP(BG$2,Assumptions!$C$94:$M$94,Assumptions!$C$97:$M$97)))</f>
        <v>47876.44356</v>
      </c>
      <c r="BH8" s="54">
        <f t="array" ref="BH8">IF(BH$2=1,Assumptions!$AF8/12,(SUMIF($D$2:$EE$2,BH$2-1,$D8:$EE8)/12)*(1+XLOOKUP(BH$2,Assumptions!$C$94:$M$94,Assumptions!$C$97:$M$97)))</f>
        <v>47876.44356</v>
      </c>
      <c r="BI8" s="54">
        <f t="array" ref="BI8">IF(BI$2=1,Assumptions!$AF8/12,(SUMIF($D$2:$EE$2,BI$2-1,$D8:$EE8)/12)*(1+XLOOKUP(BI$2,Assumptions!$C$94:$M$94,Assumptions!$C$97:$M$97)))</f>
        <v>47876.44356</v>
      </c>
      <c r="BJ8" s="54">
        <f t="array" ref="BJ8">IF(BJ$2=1,Assumptions!$AF8/12,(SUMIF($D$2:$EE$2,BJ$2-1,$D8:$EE8)/12)*(1+XLOOKUP(BJ$2,Assumptions!$C$94:$M$94,Assumptions!$C$97:$M$97)))</f>
        <v>47876.44356</v>
      </c>
      <c r="BK8" s="54">
        <f t="array" ref="BK8">IF(BK$2=1,Assumptions!$AF8/12,(SUMIF($D$2:$EE$2,BK$2-1,$D8:$EE8)/12)*(1+XLOOKUP(BK$2,Assumptions!$C$94:$M$94,Assumptions!$C$97:$M$97)))</f>
        <v>47876.44356</v>
      </c>
      <c r="BL8" s="54">
        <f t="array" ref="BL8">IF(BL$2=1,Assumptions!$AF8/12,(SUMIF($D$2:$EE$2,BL$2-1,$D8:$EE8)/12)*(1+XLOOKUP(BL$2,Assumptions!$C$94:$M$94,Assumptions!$C$97:$M$97)))</f>
        <v>49312.73686</v>
      </c>
      <c r="BM8" s="54">
        <f t="array" ref="BM8">IF(BM$2=1,Assumptions!$AF8/12,(SUMIF($D$2:$EE$2,BM$2-1,$D8:$EE8)/12)*(1+XLOOKUP(BM$2,Assumptions!$C$94:$M$94,Assumptions!$C$97:$M$97)))</f>
        <v>49312.73686</v>
      </c>
      <c r="BN8" s="54">
        <f t="array" ref="BN8">IF(BN$2=1,Assumptions!$AF8/12,(SUMIF($D$2:$EE$2,BN$2-1,$D8:$EE8)/12)*(1+XLOOKUP(BN$2,Assumptions!$C$94:$M$94,Assumptions!$C$97:$M$97)))</f>
        <v>49312.73686</v>
      </c>
      <c r="BO8" s="54">
        <f t="array" ref="BO8">IF(BO$2=1,Assumptions!$AF8/12,(SUMIF($D$2:$EE$2,BO$2-1,$D8:$EE8)/12)*(1+XLOOKUP(BO$2,Assumptions!$C$94:$M$94,Assumptions!$C$97:$M$97)))</f>
        <v>49312.73686</v>
      </c>
      <c r="BP8" s="54">
        <f t="array" ref="BP8">IF(BP$2=1,Assumptions!$AF8/12,(SUMIF($D$2:$EE$2,BP$2-1,$D8:$EE8)/12)*(1+XLOOKUP(BP$2,Assumptions!$C$94:$M$94,Assumptions!$C$97:$M$97)))</f>
        <v>49312.73686</v>
      </c>
      <c r="BQ8" s="54">
        <f t="array" ref="BQ8">IF(BQ$2=1,Assumptions!$AF8/12,(SUMIF($D$2:$EE$2,BQ$2-1,$D8:$EE8)/12)*(1+XLOOKUP(BQ$2,Assumptions!$C$94:$M$94,Assumptions!$C$97:$M$97)))</f>
        <v>49312.73686</v>
      </c>
      <c r="BR8" s="54">
        <f t="array" ref="BR8">IF(BR$2=1,Assumptions!$AF8/12,(SUMIF($D$2:$EE$2,BR$2-1,$D8:$EE8)/12)*(1+XLOOKUP(BR$2,Assumptions!$C$94:$M$94,Assumptions!$C$97:$M$97)))</f>
        <v>49312.73686</v>
      </c>
      <c r="BS8" s="54">
        <f t="array" ref="BS8">IF(BS$2=1,Assumptions!$AF8/12,(SUMIF($D$2:$EE$2,BS$2-1,$D8:$EE8)/12)*(1+XLOOKUP(BS$2,Assumptions!$C$94:$M$94,Assumptions!$C$97:$M$97)))</f>
        <v>49312.73686</v>
      </c>
      <c r="BT8" s="54">
        <f t="array" ref="BT8">IF(BT$2=1,Assumptions!$AF8/12,(SUMIF($D$2:$EE$2,BT$2-1,$D8:$EE8)/12)*(1+XLOOKUP(BT$2,Assumptions!$C$94:$M$94,Assumptions!$C$97:$M$97)))</f>
        <v>49312.73686</v>
      </c>
      <c r="BU8" s="54">
        <f t="array" ref="BU8">IF(BU$2=1,Assumptions!$AF8/12,(SUMIF($D$2:$EE$2,BU$2-1,$D8:$EE8)/12)*(1+XLOOKUP(BU$2,Assumptions!$C$94:$M$94,Assumptions!$C$97:$M$97)))</f>
        <v>49312.73686</v>
      </c>
      <c r="BV8" s="54">
        <f t="array" ref="BV8">IF(BV$2=1,Assumptions!$AF8/12,(SUMIF($D$2:$EE$2,BV$2-1,$D8:$EE8)/12)*(1+XLOOKUP(BV$2,Assumptions!$C$94:$M$94,Assumptions!$C$97:$M$97)))</f>
        <v>49312.73686</v>
      </c>
      <c r="BW8" s="54">
        <f t="array" ref="BW8">IF(BW$2=1,Assumptions!$AF8/12,(SUMIF($D$2:$EE$2,BW$2-1,$D8:$EE8)/12)*(1+XLOOKUP(BW$2,Assumptions!$C$94:$M$94,Assumptions!$C$97:$M$97)))</f>
        <v>49312.73686</v>
      </c>
      <c r="BX8" s="54">
        <f t="array" ref="BX8">IF(BX$2=1,Assumptions!$AF8/12,(SUMIF($D$2:$EE$2,BX$2-1,$D8:$EE8)/12)*(1+XLOOKUP(BX$2,Assumptions!$C$94:$M$94,Assumptions!$C$97:$M$97)))</f>
        <v>50792.11897</v>
      </c>
      <c r="BY8" s="54">
        <f t="array" ref="BY8">IF(BY$2=1,Assumptions!$AF8/12,(SUMIF($D$2:$EE$2,BY$2-1,$D8:$EE8)/12)*(1+XLOOKUP(BY$2,Assumptions!$C$94:$M$94,Assumptions!$C$97:$M$97)))</f>
        <v>50792.11897</v>
      </c>
      <c r="BZ8" s="54">
        <f t="array" ref="BZ8">IF(BZ$2=1,Assumptions!$AF8/12,(SUMIF($D$2:$EE$2,BZ$2-1,$D8:$EE8)/12)*(1+XLOOKUP(BZ$2,Assumptions!$C$94:$M$94,Assumptions!$C$97:$M$97)))</f>
        <v>50792.11897</v>
      </c>
      <c r="CA8" s="54">
        <f t="array" ref="CA8">IF(CA$2=1,Assumptions!$AF8/12,(SUMIF($D$2:$EE$2,CA$2-1,$D8:$EE8)/12)*(1+XLOOKUP(CA$2,Assumptions!$C$94:$M$94,Assumptions!$C$97:$M$97)))</f>
        <v>50792.11897</v>
      </c>
      <c r="CB8" s="54">
        <f t="array" ref="CB8">IF(CB$2=1,Assumptions!$AF8/12,(SUMIF($D$2:$EE$2,CB$2-1,$D8:$EE8)/12)*(1+XLOOKUP(CB$2,Assumptions!$C$94:$M$94,Assumptions!$C$97:$M$97)))</f>
        <v>50792.11897</v>
      </c>
      <c r="CC8" s="54">
        <f t="array" ref="CC8">IF(CC$2=1,Assumptions!$AF8/12,(SUMIF($D$2:$EE$2,CC$2-1,$D8:$EE8)/12)*(1+XLOOKUP(CC$2,Assumptions!$C$94:$M$94,Assumptions!$C$97:$M$97)))</f>
        <v>50792.11897</v>
      </c>
      <c r="CD8" s="54">
        <f t="array" ref="CD8">IF(CD$2=1,Assumptions!$AF8/12,(SUMIF($D$2:$EE$2,CD$2-1,$D8:$EE8)/12)*(1+XLOOKUP(CD$2,Assumptions!$C$94:$M$94,Assumptions!$C$97:$M$97)))</f>
        <v>50792.11897</v>
      </c>
      <c r="CE8" s="54">
        <f t="array" ref="CE8">IF(CE$2=1,Assumptions!$AF8/12,(SUMIF($D$2:$EE$2,CE$2-1,$D8:$EE8)/12)*(1+XLOOKUP(CE$2,Assumptions!$C$94:$M$94,Assumptions!$C$97:$M$97)))</f>
        <v>50792.11897</v>
      </c>
      <c r="CF8" s="54">
        <f t="array" ref="CF8">IF(CF$2=1,Assumptions!$AF8/12,(SUMIF($D$2:$EE$2,CF$2-1,$D8:$EE8)/12)*(1+XLOOKUP(CF$2,Assumptions!$C$94:$M$94,Assumptions!$C$97:$M$97)))</f>
        <v>50792.11897</v>
      </c>
      <c r="CG8" s="54">
        <f t="array" ref="CG8">IF(CG$2=1,Assumptions!$AF8/12,(SUMIF($D$2:$EE$2,CG$2-1,$D8:$EE8)/12)*(1+XLOOKUP(CG$2,Assumptions!$C$94:$M$94,Assumptions!$C$97:$M$97)))</f>
        <v>50792.11897</v>
      </c>
      <c r="CH8" s="54">
        <f t="array" ref="CH8">IF(CH$2=1,Assumptions!$AF8/12,(SUMIF($D$2:$EE$2,CH$2-1,$D8:$EE8)/12)*(1+XLOOKUP(CH$2,Assumptions!$C$94:$M$94,Assumptions!$C$97:$M$97)))</f>
        <v>50792.11897</v>
      </c>
      <c r="CI8" s="54">
        <f t="array" ref="CI8">IF(CI$2=1,Assumptions!$AF8/12,(SUMIF($D$2:$EE$2,CI$2-1,$D8:$EE8)/12)*(1+XLOOKUP(CI$2,Assumptions!$C$94:$M$94,Assumptions!$C$97:$M$97)))</f>
        <v>50792.11897</v>
      </c>
      <c r="CJ8" s="54">
        <f t="array" ref="CJ8">IF(CJ$2=1,Assumptions!$AF8/12,(SUMIF($D$2:$EE$2,CJ$2-1,$D8:$EE8)/12)*(1+XLOOKUP(CJ$2,Assumptions!$C$94:$M$94,Assumptions!$C$97:$M$97)))</f>
        <v>52315.88254</v>
      </c>
      <c r="CK8" s="54">
        <f t="array" ref="CK8">IF(CK$2=1,Assumptions!$AF8/12,(SUMIF($D$2:$EE$2,CK$2-1,$D8:$EE8)/12)*(1+XLOOKUP(CK$2,Assumptions!$C$94:$M$94,Assumptions!$C$97:$M$97)))</f>
        <v>52315.88254</v>
      </c>
      <c r="CL8" s="54">
        <f t="array" ref="CL8">IF(CL$2=1,Assumptions!$AF8/12,(SUMIF($D$2:$EE$2,CL$2-1,$D8:$EE8)/12)*(1+XLOOKUP(CL$2,Assumptions!$C$94:$M$94,Assumptions!$C$97:$M$97)))</f>
        <v>52315.88254</v>
      </c>
      <c r="CM8" s="54">
        <f t="array" ref="CM8">IF(CM$2=1,Assumptions!$AF8/12,(SUMIF($D$2:$EE$2,CM$2-1,$D8:$EE8)/12)*(1+XLOOKUP(CM$2,Assumptions!$C$94:$M$94,Assumptions!$C$97:$M$97)))</f>
        <v>52315.88254</v>
      </c>
      <c r="CN8" s="54">
        <f t="array" ref="CN8">IF(CN$2=1,Assumptions!$AF8/12,(SUMIF($D$2:$EE$2,CN$2-1,$D8:$EE8)/12)*(1+XLOOKUP(CN$2,Assumptions!$C$94:$M$94,Assumptions!$C$97:$M$97)))</f>
        <v>52315.88254</v>
      </c>
      <c r="CO8" s="54">
        <f t="array" ref="CO8">IF(CO$2=1,Assumptions!$AF8/12,(SUMIF($D$2:$EE$2,CO$2-1,$D8:$EE8)/12)*(1+XLOOKUP(CO$2,Assumptions!$C$94:$M$94,Assumptions!$C$97:$M$97)))</f>
        <v>52315.88254</v>
      </c>
      <c r="CP8" s="54">
        <f t="array" ref="CP8">IF(CP$2=1,Assumptions!$AF8/12,(SUMIF($D$2:$EE$2,CP$2-1,$D8:$EE8)/12)*(1+XLOOKUP(CP$2,Assumptions!$C$94:$M$94,Assumptions!$C$97:$M$97)))</f>
        <v>52315.88254</v>
      </c>
      <c r="CQ8" s="54">
        <f t="array" ref="CQ8">IF(CQ$2=1,Assumptions!$AF8/12,(SUMIF($D$2:$EE$2,CQ$2-1,$D8:$EE8)/12)*(1+XLOOKUP(CQ$2,Assumptions!$C$94:$M$94,Assumptions!$C$97:$M$97)))</f>
        <v>52315.88254</v>
      </c>
      <c r="CR8" s="54">
        <f t="array" ref="CR8">IF(CR$2=1,Assumptions!$AF8/12,(SUMIF($D$2:$EE$2,CR$2-1,$D8:$EE8)/12)*(1+XLOOKUP(CR$2,Assumptions!$C$94:$M$94,Assumptions!$C$97:$M$97)))</f>
        <v>52315.88254</v>
      </c>
      <c r="CS8" s="54">
        <f t="array" ref="CS8">IF(CS$2=1,Assumptions!$AF8/12,(SUMIF($D$2:$EE$2,CS$2-1,$D8:$EE8)/12)*(1+XLOOKUP(CS$2,Assumptions!$C$94:$M$94,Assumptions!$C$97:$M$97)))</f>
        <v>52315.88254</v>
      </c>
      <c r="CT8" s="54">
        <f t="array" ref="CT8">IF(CT$2=1,Assumptions!$AF8/12,(SUMIF($D$2:$EE$2,CT$2-1,$D8:$EE8)/12)*(1+XLOOKUP(CT$2,Assumptions!$C$94:$M$94,Assumptions!$C$97:$M$97)))</f>
        <v>52315.88254</v>
      </c>
      <c r="CU8" s="54">
        <f t="array" ref="CU8">IF(CU$2=1,Assumptions!$AF8/12,(SUMIF($D$2:$EE$2,CU$2-1,$D8:$EE8)/12)*(1+XLOOKUP(CU$2,Assumptions!$C$94:$M$94,Assumptions!$C$97:$M$97)))</f>
        <v>52315.88254</v>
      </c>
      <c r="CV8" s="54">
        <f t="array" ref="CV8">IF(CV$2=1,Assumptions!$AF8/12,(SUMIF($D$2:$EE$2,CV$2-1,$D8:$EE8)/12)*(1+XLOOKUP(CV$2,Assumptions!$C$94:$M$94,Assumptions!$C$97:$M$97)))</f>
        <v>53885.35901</v>
      </c>
      <c r="CW8" s="54">
        <f t="array" ref="CW8">IF(CW$2=1,Assumptions!$AF8/12,(SUMIF($D$2:$EE$2,CW$2-1,$D8:$EE8)/12)*(1+XLOOKUP(CW$2,Assumptions!$C$94:$M$94,Assumptions!$C$97:$M$97)))</f>
        <v>53885.35901</v>
      </c>
      <c r="CX8" s="54">
        <f t="array" ref="CX8">IF(CX$2=1,Assumptions!$AF8/12,(SUMIF($D$2:$EE$2,CX$2-1,$D8:$EE8)/12)*(1+XLOOKUP(CX$2,Assumptions!$C$94:$M$94,Assumptions!$C$97:$M$97)))</f>
        <v>53885.35901</v>
      </c>
      <c r="CY8" s="54">
        <f t="array" ref="CY8">IF(CY$2=1,Assumptions!$AF8/12,(SUMIF($D$2:$EE$2,CY$2-1,$D8:$EE8)/12)*(1+XLOOKUP(CY$2,Assumptions!$C$94:$M$94,Assumptions!$C$97:$M$97)))</f>
        <v>53885.35901</v>
      </c>
      <c r="CZ8" s="54">
        <f t="array" ref="CZ8">IF(CZ$2=1,Assumptions!$AF8/12,(SUMIF($D$2:$EE$2,CZ$2-1,$D8:$EE8)/12)*(1+XLOOKUP(CZ$2,Assumptions!$C$94:$M$94,Assumptions!$C$97:$M$97)))</f>
        <v>53885.35901</v>
      </c>
      <c r="DA8" s="54">
        <f t="array" ref="DA8">IF(DA$2=1,Assumptions!$AF8/12,(SUMIF($D$2:$EE$2,DA$2-1,$D8:$EE8)/12)*(1+XLOOKUP(DA$2,Assumptions!$C$94:$M$94,Assumptions!$C$97:$M$97)))</f>
        <v>53885.35901</v>
      </c>
      <c r="DB8" s="54">
        <f t="array" ref="DB8">IF(DB$2=1,Assumptions!$AF8/12,(SUMIF($D$2:$EE$2,DB$2-1,$D8:$EE8)/12)*(1+XLOOKUP(DB$2,Assumptions!$C$94:$M$94,Assumptions!$C$97:$M$97)))</f>
        <v>53885.35901</v>
      </c>
      <c r="DC8" s="54">
        <f t="array" ref="DC8">IF(DC$2=1,Assumptions!$AF8/12,(SUMIF($D$2:$EE$2,DC$2-1,$D8:$EE8)/12)*(1+XLOOKUP(DC$2,Assumptions!$C$94:$M$94,Assumptions!$C$97:$M$97)))</f>
        <v>53885.35901</v>
      </c>
      <c r="DD8" s="54">
        <f t="array" ref="DD8">IF(DD$2=1,Assumptions!$AF8/12,(SUMIF($D$2:$EE$2,DD$2-1,$D8:$EE8)/12)*(1+XLOOKUP(DD$2,Assumptions!$C$94:$M$94,Assumptions!$C$97:$M$97)))</f>
        <v>53885.35901</v>
      </c>
      <c r="DE8" s="54">
        <f t="array" ref="DE8">IF(DE$2=1,Assumptions!$AF8/12,(SUMIF($D$2:$EE$2,DE$2-1,$D8:$EE8)/12)*(1+XLOOKUP(DE$2,Assumptions!$C$94:$M$94,Assumptions!$C$97:$M$97)))</f>
        <v>53885.35901</v>
      </c>
      <c r="DF8" s="54">
        <f t="array" ref="DF8">IF(DF$2=1,Assumptions!$AF8/12,(SUMIF($D$2:$EE$2,DF$2-1,$D8:$EE8)/12)*(1+XLOOKUP(DF$2,Assumptions!$C$94:$M$94,Assumptions!$C$97:$M$97)))</f>
        <v>53885.35901</v>
      </c>
      <c r="DG8" s="54">
        <f t="array" ref="DG8">IF(DG$2=1,Assumptions!$AF8/12,(SUMIF($D$2:$EE$2,DG$2-1,$D8:$EE8)/12)*(1+XLOOKUP(DG$2,Assumptions!$C$94:$M$94,Assumptions!$C$97:$M$97)))</f>
        <v>53885.35901</v>
      </c>
      <c r="DH8" s="54">
        <f t="array" ref="DH8">IF(DH$2=1,Assumptions!$AF8/12,(SUMIF($D$2:$EE$2,DH$2-1,$D8:$EE8)/12)*(1+XLOOKUP(DH$2,Assumptions!$C$94:$M$94,Assumptions!$C$97:$M$97)))</f>
        <v>55501.91978</v>
      </c>
      <c r="DI8" s="54">
        <f t="array" ref="DI8">IF(DI$2=1,Assumptions!$AF8/12,(SUMIF($D$2:$EE$2,DI$2-1,$D8:$EE8)/12)*(1+XLOOKUP(DI$2,Assumptions!$C$94:$M$94,Assumptions!$C$97:$M$97)))</f>
        <v>55501.91978</v>
      </c>
      <c r="DJ8" s="54">
        <f t="array" ref="DJ8">IF(DJ$2=1,Assumptions!$AF8/12,(SUMIF($D$2:$EE$2,DJ$2-1,$D8:$EE8)/12)*(1+XLOOKUP(DJ$2,Assumptions!$C$94:$M$94,Assumptions!$C$97:$M$97)))</f>
        <v>55501.91978</v>
      </c>
      <c r="DK8" s="54">
        <f t="array" ref="DK8">IF(DK$2=1,Assumptions!$AF8/12,(SUMIF($D$2:$EE$2,DK$2-1,$D8:$EE8)/12)*(1+XLOOKUP(DK$2,Assumptions!$C$94:$M$94,Assumptions!$C$97:$M$97)))</f>
        <v>55501.91978</v>
      </c>
      <c r="DL8" s="54">
        <f t="array" ref="DL8">IF(DL$2=1,Assumptions!$AF8/12,(SUMIF($D$2:$EE$2,DL$2-1,$D8:$EE8)/12)*(1+XLOOKUP(DL$2,Assumptions!$C$94:$M$94,Assumptions!$C$97:$M$97)))</f>
        <v>55501.91978</v>
      </c>
      <c r="DM8" s="54">
        <f t="array" ref="DM8">IF(DM$2=1,Assumptions!$AF8/12,(SUMIF($D$2:$EE$2,DM$2-1,$D8:$EE8)/12)*(1+XLOOKUP(DM$2,Assumptions!$C$94:$M$94,Assumptions!$C$97:$M$97)))</f>
        <v>55501.91978</v>
      </c>
      <c r="DN8" s="54">
        <f t="array" ref="DN8">IF(DN$2=1,Assumptions!$AF8/12,(SUMIF($D$2:$EE$2,DN$2-1,$D8:$EE8)/12)*(1+XLOOKUP(DN$2,Assumptions!$C$94:$M$94,Assumptions!$C$97:$M$97)))</f>
        <v>55501.91978</v>
      </c>
      <c r="DO8" s="54">
        <f t="array" ref="DO8">IF(DO$2=1,Assumptions!$AF8/12,(SUMIF($D$2:$EE$2,DO$2-1,$D8:$EE8)/12)*(1+XLOOKUP(DO$2,Assumptions!$C$94:$M$94,Assumptions!$C$97:$M$97)))</f>
        <v>55501.91978</v>
      </c>
      <c r="DP8" s="54">
        <f t="array" ref="DP8">IF(DP$2=1,Assumptions!$AF8/12,(SUMIF($D$2:$EE$2,DP$2-1,$D8:$EE8)/12)*(1+XLOOKUP(DP$2,Assumptions!$C$94:$M$94,Assumptions!$C$97:$M$97)))</f>
        <v>55501.91978</v>
      </c>
      <c r="DQ8" s="54">
        <f t="array" ref="DQ8">IF(DQ$2=1,Assumptions!$AF8/12,(SUMIF($D$2:$EE$2,DQ$2-1,$D8:$EE8)/12)*(1+XLOOKUP(DQ$2,Assumptions!$C$94:$M$94,Assumptions!$C$97:$M$97)))</f>
        <v>55501.91978</v>
      </c>
      <c r="DR8" s="54">
        <f t="array" ref="DR8">IF(DR$2=1,Assumptions!$AF8/12,(SUMIF($D$2:$EE$2,DR$2-1,$D8:$EE8)/12)*(1+XLOOKUP(DR$2,Assumptions!$C$94:$M$94,Assumptions!$C$97:$M$97)))</f>
        <v>55501.91978</v>
      </c>
      <c r="DS8" s="54">
        <f t="array" ref="DS8">IF(DS$2=1,Assumptions!$AF8/12,(SUMIF($D$2:$EE$2,DS$2-1,$D8:$EE8)/12)*(1+XLOOKUP(DS$2,Assumptions!$C$94:$M$94,Assumptions!$C$97:$M$97)))</f>
        <v>55501.91978</v>
      </c>
      <c r="DT8" s="54">
        <f t="array" ref="DT8">IF(DT$2=1,Assumptions!$AF8/12,(SUMIF($D$2:$EE$2,DT$2-1,$D8:$EE8)/12)*(1+XLOOKUP(DT$2,Assumptions!$C$94:$M$94,Assumptions!$C$97:$M$97)))</f>
        <v>57166.97738</v>
      </c>
      <c r="DU8" s="54">
        <f t="array" ref="DU8">IF(DU$2=1,Assumptions!$AF8/12,(SUMIF($D$2:$EE$2,DU$2-1,$D8:$EE8)/12)*(1+XLOOKUP(DU$2,Assumptions!$C$94:$M$94,Assumptions!$C$97:$M$97)))</f>
        <v>57166.97738</v>
      </c>
      <c r="DV8" s="54">
        <f t="array" ref="DV8">IF(DV$2=1,Assumptions!$AF8/12,(SUMIF($D$2:$EE$2,DV$2-1,$D8:$EE8)/12)*(1+XLOOKUP(DV$2,Assumptions!$C$94:$M$94,Assumptions!$C$97:$M$97)))</f>
        <v>57166.97738</v>
      </c>
      <c r="DW8" s="54">
        <f t="array" ref="DW8">IF(DW$2=1,Assumptions!$AF8/12,(SUMIF($D$2:$EE$2,DW$2-1,$D8:$EE8)/12)*(1+XLOOKUP(DW$2,Assumptions!$C$94:$M$94,Assumptions!$C$97:$M$97)))</f>
        <v>57166.97738</v>
      </c>
      <c r="DX8" s="54">
        <f t="array" ref="DX8">IF(DX$2=1,Assumptions!$AF8/12,(SUMIF($D$2:$EE$2,DX$2-1,$D8:$EE8)/12)*(1+XLOOKUP(DX$2,Assumptions!$C$94:$M$94,Assumptions!$C$97:$M$97)))</f>
        <v>57166.97738</v>
      </c>
      <c r="DY8" s="54">
        <f t="array" ref="DY8">IF(DY$2=1,Assumptions!$AF8/12,(SUMIF($D$2:$EE$2,DY$2-1,$D8:$EE8)/12)*(1+XLOOKUP(DY$2,Assumptions!$C$94:$M$94,Assumptions!$C$97:$M$97)))</f>
        <v>57166.97738</v>
      </c>
      <c r="DZ8" s="54">
        <f t="array" ref="DZ8">IF(DZ$2=1,Assumptions!$AF8/12,(SUMIF($D$2:$EE$2,DZ$2-1,$D8:$EE8)/12)*(1+XLOOKUP(DZ$2,Assumptions!$C$94:$M$94,Assumptions!$C$97:$M$97)))</f>
        <v>57166.97738</v>
      </c>
      <c r="EA8" s="54">
        <f t="array" ref="EA8">IF(EA$2=1,Assumptions!$AF8/12,(SUMIF($D$2:$EE$2,EA$2-1,$D8:$EE8)/12)*(1+XLOOKUP(EA$2,Assumptions!$C$94:$M$94,Assumptions!$C$97:$M$97)))</f>
        <v>57166.97738</v>
      </c>
      <c r="EB8" s="54">
        <f t="array" ref="EB8">IF(EB$2=1,Assumptions!$AF8/12,(SUMIF($D$2:$EE$2,EB$2-1,$D8:$EE8)/12)*(1+XLOOKUP(EB$2,Assumptions!$C$94:$M$94,Assumptions!$C$97:$M$97)))</f>
        <v>57166.97738</v>
      </c>
      <c r="EC8" s="54">
        <f t="array" ref="EC8">IF(EC$2=1,Assumptions!$AF8/12,(SUMIF($D$2:$EE$2,EC$2-1,$D8:$EE8)/12)*(1+XLOOKUP(EC$2,Assumptions!$C$94:$M$94,Assumptions!$C$97:$M$97)))</f>
        <v>57166.97738</v>
      </c>
      <c r="ED8" s="54">
        <f t="array" ref="ED8">IF(ED$2=1,Assumptions!$AF8/12,(SUMIF($D$2:$EE$2,ED$2-1,$D8:$EE8)/12)*(1+XLOOKUP(ED$2,Assumptions!$C$94:$M$94,Assumptions!$C$97:$M$97)))</f>
        <v>57166.97738</v>
      </c>
      <c r="EE8" s="54">
        <f t="array" ref="EE8">IF(EE$2=1,Assumptions!$AF8/12,(SUMIF($D$2:$EE$2,EE$2-1,$D8:$EE8)/12)*(1+XLOOKUP(EE$2,Assumptions!$C$94:$M$94,Assumptions!$C$97:$M$97)))</f>
        <v>57166.97738</v>
      </c>
    </row>
    <row r="9" ht="15.75" customHeight="1">
      <c r="A9" s="1"/>
      <c r="B9" s="1"/>
      <c r="C9" s="1" t="str">
        <f>Assumptions!Z9</f>
        <v>3x3</v>
      </c>
      <c r="D9" s="54">
        <f t="array" ref="D9">IF(D$2=1,Assumptions!$AF9/12,(SUMIF($D$2:$EE$2,D$2-1,$D9:$EE9)/12)*(1+XLOOKUP(D$2,Assumptions!$C$94:$M$94,Assumptions!$C$97:$M$97)))</f>
        <v>11302.2</v>
      </c>
      <c r="E9" s="54">
        <f t="array" ref="E9">IF(E$2=1,Assumptions!$AF9/12,(SUMIF($D$2:$EE$2,E$2-1,$D9:$EE9)/12)*(1+XLOOKUP(E$2,Assumptions!$C$94:$M$94,Assumptions!$C$97:$M$97)))</f>
        <v>11302.2</v>
      </c>
      <c r="F9" s="54">
        <f t="array" ref="F9">IF(F$2=1,Assumptions!$AF9/12,(SUMIF($D$2:$EE$2,F$2-1,$D9:$EE9)/12)*(1+XLOOKUP(F$2,Assumptions!$C$94:$M$94,Assumptions!$C$97:$M$97)))</f>
        <v>11302.2</v>
      </c>
      <c r="G9" s="54">
        <f t="array" ref="G9">IF(G$2=1,Assumptions!$AF9/12,(SUMIF($D$2:$EE$2,G$2-1,$D9:$EE9)/12)*(1+XLOOKUP(G$2,Assumptions!$C$94:$M$94,Assumptions!$C$97:$M$97)))</f>
        <v>11302.2</v>
      </c>
      <c r="H9" s="54">
        <f t="array" ref="H9">IF(H$2=1,Assumptions!$AF9/12,(SUMIF($D$2:$EE$2,H$2-1,$D9:$EE9)/12)*(1+XLOOKUP(H$2,Assumptions!$C$94:$M$94,Assumptions!$C$97:$M$97)))</f>
        <v>11302.2</v>
      </c>
      <c r="I9" s="54">
        <f t="array" ref="I9">IF(I$2=1,Assumptions!$AF9/12,(SUMIF($D$2:$EE$2,I$2-1,$D9:$EE9)/12)*(1+XLOOKUP(I$2,Assumptions!$C$94:$M$94,Assumptions!$C$97:$M$97)))</f>
        <v>11302.2</v>
      </c>
      <c r="J9" s="54">
        <f t="array" ref="J9">IF(J$2=1,Assumptions!$AF9/12,(SUMIF($D$2:$EE$2,J$2-1,$D9:$EE9)/12)*(1+XLOOKUP(J$2,Assumptions!$C$94:$M$94,Assumptions!$C$97:$M$97)))</f>
        <v>11302.2</v>
      </c>
      <c r="K9" s="54">
        <f t="array" ref="K9">IF(K$2=1,Assumptions!$AF9/12,(SUMIF($D$2:$EE$2,K$2-1,$D9:$EE9)/12)*(1+XLOOKUP(K$2,Assumptions!$C$94:$M$94,Assumptions!$C$97:$M$97)))</f>
        <v>11302.2</v>
      </c>
      <c r="L9" s="54">
        <f t="array" ref="L9">IF(L$2=1,Assumptions!$AF9/12,(SUMIF($D$2:$EE$2,L$2-1,$D9:$EE9)/12)*(1+XLOOKUP(L$2,Assumptions!$C$94:$M$94,Assumptions!$C$97:$M$97)))</f>
        <v>11302.2</v>
      </c>
      <c r="M9" s="54">
        <f t="array" ref="M9">IF(M$2=1,Assumptions!$AF9/12,(SUMIF($D$2:$EE$2,M$2-1,$D9:$EE9)/12)*(1+XLOOKUP(M$2,Assumptions!$C$94:$M$94,Assumptions!$C$97:$M$97)))</f>
        <v>11302.2</v>
      </c>
      <c r="N9" s="54">
        <f t="array" ref="N9">IF(N$2=1,Assumptions!$AF9/12,(SUMIF($D$2:$EE$2,N$2-1,$D9:$EE9)/12)*(1+XLOOKUP(N$2,Assumptions!$C$94:$M$94,Assumptions!$C$97:$M$97)))</f>
        <v>11302.2</v>
      </c>
      <c r="O9" s="54">
        <f t="array" ref="O9">IF(O$2=1,Assumptions!$AF9/12,(SUMIF($D$2:$EE$2,O$2-1,$D9:$EE9)/12)*(1+XLOOKUP(O$2,Assumptions!$C$94:$M$94,Assumptions!$C$97:$M$97)))</f>
        <v>11302.2</v>
      </c>
      <c r="P9" s="54">
        <f t="array" ref="P9">IF(P$2=1,Assumptions!$AF9/12,(SUMIF($D$2:$EE$2,P$2-1,$D9:$EE9)/12)*(1+XLOOKUP(P$2,Assumptions!$C$94:$M$94,Assumptions!$C$97:$M$97)))</f>
        <v>11641.266</v>
      </c>
      <c r="Q9" s="54">
        <f t="array" ref="Q9">IF(Q$2=1,Assumptions!$AF9/12,(SUMIF($D$2:$EE$2,Q$2-1,$D9:$EE9)/12)*(1+XLOOKUP(Q$2,Assumptions!$C$94:$M$94,Assumptions!$C$97:$M$97)))</f>
        <v>11641.266</v>
      </c>
      <c r="R9" s="54">
        <f t="array" ref="R9">IF(R$2=1,Assumptions!$AF9/12,(SUMIF($D$2:$EE$2,R$2-1,$D9:$EE9)/12)*(1+XLOOKUP(R$2,Assumptions!$C$94:$M$94,Assumptions!$C$97:$M$97)))</f>
        <v>11641.266</v>
      </c>
      <c r="S9" s="54">
        <f t="array" ref="S9">IF(S$2=1,Assumptions!$AF9/12,(SUMIF($D$2:$EE$2,S$2-1,$D9:$EE9)/12)*(1+XLOOKUP(S$2,Assumptions!$C$94:$M$94,Assumptions!$C$97:$M$97)))</f>
        <v>11641.266</v>
      </c>
      <c r="T9" s="54">
        <f t="array" ref="T9">IF(T$2=1,Assumptions!$AF9/12,(SUMIF($D$2:$EE$2,T$2-1,$D9:$EE9)/12)*(1+XLOOKUP(T$2,Assumptions!$C$94:$M$94,Assumptions!$C$97:$M$97)))</f>
        <v>11641.266</v>
      </c>
      <c r="U9" s="54">
        <f t="array" ref="U9">IF(U$2=1,Assumptions!$AF9/12,(SUMIF($D$2:$EE$2,U$2-1,$D9:$EE9)/12)*(1+XLOOKUP(U$2,Assumptions!$C$94:$M$94,Assumptions!$C$97:$M$97)))</f>
        <v>11641.266</v>
      </c>
      <c r="V9" s="54">
        <f t="array" ref="V9">IF(V$2=1,Assumptions!$AF9/12,(SUMIF($D$2:$EE$2,V$2-1,$D9:$EE9)/12)*(1+XLOOKUP(V$2,Assumptions!$C$94:$M$94,Assumptions!$C$97:$M$97)))</f>
        <v>11641.266</v>
      </c>
      <c r="W9" s="54">
        <f t="array" ref="W9">IF(W$2=1,Assumptions!$AF9/12,(SUMIF($D$2:$EE$2,W$2-1,$D9:$EE9)/12)*(1+XLOOKUP(W$2,Assumptions!$C$94:$M$94,Assumptions!$C$97:$M$97)))</f>
        <v>11641.266</v>
      </c>
      <c r="X9" s="54">
        <f t="array" ref="X9">IF(X$2=1,Assumptions!$AF9/12,(SUMIF($D$2:$EE$2,X$2-1,$D9:$EE9)/12)*(1+XLOOKUP(X$2,Assumptions!$C$94:$M$94,Assumptions!$C$97:$M$97)))</f>
        <v>11641.266</v>
      </c>
      <c r="Y9" s="54">
        <f t="array" ref="Y9">IF(Y$2=1,Assumptions!$AF9/12,(SUMIF($D$2:$EE$2,Y$2-1,$D9:$EE9)/12)*(1+XLOOKUP(Y$2,Assumptions!$C$94:$M$94,Assumptions!$C$97:$M$97)))</f>
        <v>11641.266</v>
      </c>
      <c r="Z9" s="54">
        <f t="array" ref="Z9">IF(Z$2=1,Assumptions!$AF9/12,(SUMIF($D$2:$EE$2,Z$2-1,$D9:$EE9)/12)*(1+XLOOKUP(Z$2,Assumptions!$C$94:$M$94,Assumptions!$C$97:$M$97)))</f>
        <v>11641.266</v>
      </c>
      <c r="AA9" s="54">
        <f t="array" ref="AA9">IF(AA$2=1,Assumptions!$AF9/12,(SUMIF($D$2:$EE$2,AA$2-1,$D9:$EE9)/12)*(1+XLOOKUP(AA$2,Assumptions!$C$94:$M$94,Assumptions!$C$97:$M$97)))</f>
        <v>11641.266</v>
      </c>
      <c r="AB9" s="54">
        <f t="array" ref="AB9">IF(AB$2=1,Assumptions!$AF9/12,(SUMIF($D$2:$EE$2,AB$2-1,$D9:$EE9)/12)*(1+XLOOKUP(AB$2,Assumptions!$C$94:$M$94,Assumptions!$C$97:$M$97)))</f>
        <v>11990.50398</v>
      </c>
      <c r="AC9" s="54">
        <f t="array" ref="AC9">IF(AC$2=1,Assumptions!$AF9/12,(SUMIF($D$2:$EE$2,AC$2-1,$D9:$EE9)/12)*(1+XLOOKUP(AC$2,Assumptions!$C$94:$M$94,Assumptions!$C$97:$M$97)))</f>
        <v>11990.50398</v>
      </c>
      <c r="AD9" s="54">
        <f t="array" ref="AD9">IF(AD$2=1,Assumptions!$AF9/12,(SUMIF($D$2:$EE$2,AD$2-1,$D9:$EE9)/12)*(1+XLOOKUP(AD$2,Assumptions!$C$94:$M$94,Assumptions!$C$97:$M$97)))</f>
        <v>11990.50398</v>
      </c>
      <c r="AE9" s="54">
        <f t="array" ref="AE9">IF(AE$2=1,Assumptions!$AF9/12,(SUMIF($D$2:$EE$2,AE$2-1,$D9:$EE9)/12)*(1+XLOOKUP(AE$2,Assumptions!$C$94:$M$94,Assumptions!$C$97:$M$97)))</f>
        <v>11990.50398</v>
      </c>
      <c r="AF9" s="54">
        <f t="array" ref="AF9">IF(AF$2=1,Assumptions!$AF9/12,(SUMIF($D$2:$EE$2,AF$2-1,$D9:$EE9)/12)*(1+XLOOKUP(AF$2,Assumptions!$C$94:$M$94,Assumptions!$C$97:$M$97)))</f>
        <v>11990.50398</v>
      </c>
      <c r="AG9" s="54">
        <f t="array" ref="AG9">IF(AG$2=1,Assumptions!$AF9/12,(SUMIF($D$2:$EE$2,AG$2-1,$D9:$EE9)/12)*(1+XLOOKUP(AG$2,Assumptions!$C$94:$M$94,Assumptions!$C$97:$M$97)))</f>
        <v>11990.50398</v>
      </c>
      <c r="AH9" s="54">
        <f t="array" ref="AH9">IF(AH$2=1,Assumptions!$AF9/12,(SUMIF($D$2:$EE$2,AH$2-1,$D9:$EE9)/12)*(1+XLOOKUP(AH$2,Assumptions!$C$94:$M$94,Assumptions!$C$97:$M$97)))</f>
        <v>11990.50398</v>
      </c>
      <c r="AI9" s="54">
        <f t="array" ref="AI9">IF(AI$2=1,Assumptions!$AF9/12,(SUMIF($D$2:$EE$2,AI$2-1,$D9:$EE9)/12)*(1+XLOOKUP(AI$2,Assumptions!$C$94:$M$94,Assumptions!$C$97:$M$97)))</f>
        <v>11990.50398</v>
      </c>
      <c r="AJ9" s="54">
        <f t="array" ref="AJ9">IF(AJ$2=1,Assumptions!$AF9/12,(SUMIF($D$2:$EE$2,AJ$2-1,$D9:$EE9)/12)*(1+XLOOKUP(AJ$2,Assumptions!$C$94:$M$94,Assumptions!$C$97:$M$97)))</f>
        <v>11990.50398</v>
      </c>
      <c r="AK9" s="54">
        <f t="array" ref="AK9">IF(AK$2=1,Assumptions!$AF9/12,(SUMIF($D$2:$EE$2,AK$2-1,$D9:$EE9)/12)*(1+XLOOKUP(AK$2,Assumptions!$C$94:$M$94,Assumptions!$C$97:$M$97)))</f>
        <v>11990.50398</v>
      </c>
      <c r="AL9" s="54">
        <f t="array" ref="AL9">IF(AL$2=1,Assumptions!$AF9/12,(SUMIF($D$2:$EE$2,AL$2-1,$D9:$EE9)/12)*(1+XLOOKUP(AL$2,Assumptions!$C$94:$M$94,Assumptions!$C$97:$M$97)))</f>
        <v>11990.50398</v>
      </c>
      <c r="AM9" s="54">
        <f t="array" ref="AM9">IF(AM$2=1,Assumptions!$AF9/12,(SUMIF($D$2:$EE$2,AM$2-1,$D9:$EE9)/12)*(1+XLOOKUP(AM$2,Assumptions!$C$94:$M$94,Assumptions!$C$97:$M$97)))</f>
        <v>11990.50398</v>
      </c>
      <c r="AN9" s="54">
        <f t="array" ref="AN9">IF(AN$2=1,Assumptions!$AF9/12,(SUMIF($D$2:$EE$2,AN$2-1,$D9:$EE9)/12)*(1+XLOOKUP(AN$2,Assumptions!$C$94:$M$94,Assumptions!$C$97:$M$97)))</f>
        <v>12350.2191</v>
      </c>
      <c r="AO9" s="54">
        <f t="array" ref="AO9">IF(AO$2=1,Assumptions!$AF9/12,(SUMIF($D$2:$EE$2,AO$2-1,$D9:$EE9)/12)*(1+XLOOKUP(AO$2,Assumptions!$C$94:$M$94,Assumptions!$C$97:$M$97)))</f>
        <v>12350.2191</v>
      </c>
      <c r="AP9" s="54">
        <f t="array" ref="AP9">IF(AP$2=1,Assumptions!$AF9/12,(SUMIF($D$2:$EE$2,AP$2-1,$D9:$EE9)/12)*(1+XLOOKUP(AP$2,Assumptions!$C$94:$M$94,Assumptions!$C$97:$M$97)))</f>
        <v>12350.2191</v>
      </c>
      <c r="AQ9" s="54">
        <f t="array" ref="AQ9">IF(AQ$2=1,Assumptions!$AF9/12,(SUMIF($D$2:$EE$2,AQ$2-1,$D9:$EE9)/12)*(1+XLOOKUP(AQ$2,Assumptions!$C$94:$M$94,Assumptions!$C$97:$M$97)))</f>
        <v>12350.2191</v>
      </c>
      <c r="AR9" s="54">
        <f t="array" ref="AR9">IF(AR$2=1,Assumptions!$AF9/12,(SUMIF($D$2:$EE$2,AR$2-1,$D9:$EE9)/12)*(1+XLOOKUP(AR$2,Assumptions!$C$94:$M$94,Assumptions!$C$97:$M$97)))</f>
        <v>12350.2191</v>
      </c>
      <c r="AS9" s="54">
        <f t="array" ref="AS9">IF(AS$2=1,Assumptions!$AF9/12,(SUMIF($D$2:$EE$2,AS$2-1,$D9:$EE9)/12)*(1+XLOOKUP(AS$2,Assumptions!$C$94:$M$94,Assumptions!$C$97:$M$97)))</f>
        <v>12350.2191</v>
      </c>
      <c r="AT9" s="54">
        <f t="array" ref="AT9">IF(AT$2=1,Assumptions!$AF9/12,(SUMIF($D$2:$EE$2,AT$2-1,$D9:$EE9)/12)*(1+XLOOKUP(AT$2,Assumptions!$C$94:$M$94,Assumptions!$C$97:$M$97)))</f>
        <v>12350.2191</v>
      </c>
      <c r="AU9" s="54">
        <f t="array" ref="AU9">IF(AU$2=1,Assumptions!$AF9/12,(SUMIF($D$2:$EE$2,AU$2-1,$D9:$EE9)/12)*(1+XLOOKUP(AU$2,Assumptions!$C$94:$M$94,Assumptions!$C$97:$M$97)))</f>
        <v>12350.2191</v>
      </c>
      <c r="AV9" s="54">
        <f t="array" ref="AV9">IF(AV$2=1,Assumptions!$AF9/12,(SUMIF($D$2:$EE$2,AV$2-1,$D9:$EE9)/12)*(1+XLOOKUP(AV$2,Assumptions!$C$94:$M$94,Assumptions!$C$97:$M$97)))</f>
        <v>12350.2191</v>
      </c>
      <c r="AW9" s="54">
        <f t="array" ref="AW9">IF(AW$2=1,Assumptions!$AF9/12,(SUMIF($D$2:$EE$2,AW$2-1,$D9:$EE9)/12)*(1+XLOOKUP(AW$2,Assumptions!$C$94:$M$94,Assumptions!$C$97:$M$97)))</f>
        <v>12350.2191</v>
      </c>
      <c r="AX9" s="54">
        <f t="array" ref="AX9">IF(AX$2=1,Assumptions!$AF9/12,(SUMIF($D$2:$EE$2,AX$2-1,$D9:$EE9)/12)*(1+XLOOKUP(AX$2,Assumptions!$C$94:$M$94,Assumptions!$C$97:$M$97)))</f>
        <v>12350.2191</v>
      </c>
      <c r="AY9" s="54">
        <f t="array" ref="AY9">IF(AY$2=1,Assumptions!$AF9/12,(SUMIF($D$2:$EE$2,AY$2-1,$D9:$EE9)/12)*(1+XLOOKUP(AY$2,Assumptions!$C$94:$M$94,Assumptions!$C$97:$M$97)))</f>
        <v>12350.2191</v>
      </c>
      <c r="AZ9" s="54">
        <f t="array" ref="AZ9">IF(AZ$2=1,Assumptions!$AF9/12,(SUMIF($D$2:$EE$2,AZ$2-1,$D9:$EE9)/12)*(1+XLOOKUP(AZ$2,Assumptions!$C$94:$M$94,Assumptions!$C$97:$M$97)))</f>
        <v>12720.72567</v>
      </c>
      <c r="BA9" s="54">
        <f t="array" ref="BA9">IF(BA$2=1,Assumptions!$AF9/12,(SUMIF($D$2:$EE$2,BA$2-1,$D9:$EE9)/12)*(1+XLOOKUP(BA$2,Assumptions!$C$94:$M$94,Assumptions!$C$97:$M$97)))</f>
        <v>12720.72567</v>
      </c>
      <c r="BB9" s="54">
        <f t="array" ref="BB9">IF(BB$2=1,Assumptions!$AF9/12,(SUMIF($D$2:$EE$2,BB$2-1,$D9:$EE9)/12)*(1+XLOOKUP(BB$2,Assumptions!$C$94:$M$94,Assumptions!$C$97:$M$97)))</f>
        <v>12720.72567</v>
      </c>
      <c r="BC9" s="54">
        <f t="array" ref="BC9">IF(BC$2=1,Assumptions!$AF9/12,(SUMIF($D$2:$EE$2,BC$2-1,$D9:$EE9)/12)*(1+XLOOKUP(BC$2,Assumptions!$C$94:$M$94,Assumptions!$C$97:$M$97)))</f>
        <v>12720.72567</v>
      </c>
      <c r="BD9" s="54">
        <f t="array" ref="BD9">IF(BD$2=1,Assumptions!$AF9/12,(SUMIF($D$2:$EE$2,BD$2-1,$D9:$EE9)/12)*(1+XLOOKUP(BD$2,Assumptions!$C$94:$M$94,Assumptions!$C$97:$M$97)))</f>
        <v>12720.72567</v>
      </c>
      <c r="BE9" s="54">
        <f t="array" ref="BE9">IF(BE$2=1,Assumptions!$AF9/12,(SUMIF($D$2:$EE$2,BE$2-1,$D9:$EE9)/12)*(1+XLOOKUP(BE$2,Assumptions!$C$94:$M$94,Assumptions!$C$97:$M$97)))</f>
        <v>12720.72567</v>
      </c>
      <c r="BF9" s="54">
        <f t="array" ref="BF9">IF(BF$2=1,Assumptions!$AF9/12,(SUMIF($D$2:$EE$2,BF$2-1,$D9:$EE9)/12)*(1+XLOOKUP(BF$2,Assumptions!$C$94:$M$94,Assumptions!$C$97:$M$97)))</f>
        <v>12720.72567</v>
      </c>
      <c r="BG9" s="54">
        <f t="array" ref="BG9">IF(BG$2=1,Assumptions!$AF9/12,(SUMIF($D$2:$EE$2,BG$2-1,$D9:$EE9)/12)*(1+XLOOKUP(BG$2,Assumptions!$C$94:$M$94,Assumptions!$C$97:$M$97)))</f>
        <v>12720.72567</v>
      </c>
      <c r="BH9" s="54">
        <f t="array" ref="BH9">IF(BH$2=1,Assumptions!$AF9/12,(SUMIF($D$2:$EE$2,BH$2-1,$D9:$EE9)/12)*(1+XLOOKUP(BH$2,Assumptions!$C$94:$M$94,Assumptions!$C$97:$M$97)))</f>
        <v>12720.72567</v>
      </c>
      <c r="BI9" s="54">
        <f t="array" ref="BI9">IF(BI$2=1,Assumptions!$AF9/12,(SUMIF($D$2:$EE$2,BI$2-1,$D9:$EE9)/12)*(1+XLOOKUP(BI$2,Assumptions!$C$94:$M$94,Assumptions!$C$97:$M$97)))</f>
        <v>12720.72567</v>
      </c>
      <c r="BJ9" s="54">
        <f t="array" ref="BJ9">IF(BJ$2=1,Assumptions!$AF9/12,(SUMIF($D$2:$EE$2,BJ$2-1,$D9:$EE9)/12)*(1+XLOOKUP(BJ$2,Assumptions!$C$94:$M$94,Assumptions!$C$97:$M$97)))</f>
        <v>12720.72567</v>
      </c>
      <c r="BK9" s="54">
        <f t="array" ref="BK9">IF(BK$2=1,Assumptions!$AF9/12,(SUMIF($D$2:$EE$2,BK$2-1,$D9:$EE9)/12)*(1+XLOOKUP(BK$2,Assumptions!$C$94:$M$94,Assumptions!$C$97:$M$97)))</f>
        <v>12720.72567</v>
      </c>
      <c r="BL9" s="54">
        <f t="array" ref="BL9">IF(BL$2=1,Assumptions!$AF9/12,(SUMIF($D$2:$EE$2,BL$2-1,$D9:$EE9)/12)*(1+XLOOKUP(BL$2,Assumptions!$C$94:$M$94,Assumptions!$C$97:$M$97)))</f>
        <v>13102.34744</v>
      </c>
      <c r="BM9" s="54">
        <f t="array" ref="BM9">IF(BM$2=1,Assumptions!$AF9/12,(SUMIF($D$2:$EE$2,BM$2-1,$D9:$EE9)/12)*(1+XLOOKUP(BM$2,Assumptions!$C$94:$M$94,Assumptions!$C$97:$M$97)))</f>
        <v>13102.34744</v>
      </c>
      <c r="BN9" s="54">
        <f t="array" ref="BN9">IF(BN$2=1,Assumptions!$AF9/12,(SUMIF($D$2:$EE$2,BN$2-1,$D9:$EE9)/12)*(1+XLOOKUP(BN$2,Assumptions!$C$94:$M$94,Assumptions!$C$97:$M$97)))</f>
        <v>13102.34744</v>
      </c>
      <c r="BO9" s="54">
        <f t="array" ref="BO9">IF(BO$2=1,Assumptions!$AF9/12,(SUMIF($D$2:$EE$2,BO$2-1,$D9:$EE9)/12)*(1+XLOOKUP(BO$2,Assumptions!$C$94:$M$94,Assumptions!$C$97:$M$97)))</f>
        <v>13102.34744</v>
      </c>
      <c r="BP9" s="54">
        <f t="array" ref="BP9">IF(BP$2=1,Assumptions!$AF9/12,(SUMIF($D$2:$EE$2,BP$2-1,$D9:$EE9)/12)*(1+XLOOKUP(BP$2,Assumptions!$C$94:$M$94,Assumptions!$C$97:$M$97)))</f>
        <v>13102.34744</v>
      </c>
      <c r="BQ9" s="54">
        <f t="array" ref="BQ9">IF(BQ$2=1,Assumptions!$AF9/12,(SUMIF($D$2:$EE$2,BQ$2-1,$D9:$EE9)/12)*(1+XLOOKUP(BQ$2,Assumptions!$C$94:$M$94,Assumptions!$C$97:$M$97)))</f>
        <v>13102.34744</v>
      </c>
      <c r="BR9" s="54">
        <f t="array" ref="BR9">IF(BR$2=1,Assumptions!$AF9/12,(SUMIF($D$2:$EE$2,BR$2-1,$D9:$EE9)/12)*(1+XLOOKUP(BR$2,Assumptions!$C$94:$M$94,Assumptions!$C$97:$M$97)))</f>
        <v>13102.34744</v>
      </c>
      <c r="BS9" s="54">
        <f t="array" ref="BS9">IF(BS$2=1,Assumptions!$AF9/12,(SUMIF($D$2:$EE$2,BS$2-1,$D9:$EE9)/12)*(1+XLOOKUP(BS$2,Assumptions!$C$94:$M$94,Assumptions!$C$97:$M$97)))</f>
        <v>13102.34744</v>
      </c>
      <c r="BT9" s="54">
        <f t="array" ref="BT9">IF(BT$2=1,Assumptions!$AF9/12,(SUMIF($D$2:$EE$2,BT$2-1,$D9:$EE9)/12)*(1+XLOOKUP(BT$2,Assumptions!$C$94:$M$94,Assumptions!$C$97:$M$97)))</f>
        <v>13102.34744</v>
      </c>
      <c r="BU9" s="54">
        <f t="array" ref="BU9">IF(BU$2=1,Assumptions!$AF9/12,(SUMIF($D$2:$EE$2,BU$2-1,$D9:$EE9)/12)*(1+XLOOKUP(BU$2,Assumptions!$C$94:$M$94,Assumptions!$C$97:$M$97)))</f>
        <v>13102.34744</v>
      </c>
      <c r="BV9" s="54">
        <f t="array" ref="BV9">IF(BV$2=1,Assumptions!$AF9/12,(SUMIF($D$2:$EE$2,BV$2-1,$D9:$EE9)/12)*(1+XLOOKUP(BV$2,Assumptions!$C$94:$M$94,Assumptions!$C$97:$M$97)))</f>
        <v>13102.34744</v>
      </c>
      <c r="BW9" s="54">
        <f t="array" ref="BW9">IF(BW$2=1,Assumptions!$AF9/12,(SUMIF($D$2:$EE$2,BW$2-1,$D9:$EE9)/12)*(1+XLOOKUP(BW$2,Assumptions!$C$94:$M$94,Assumptions!$C$97:$M$97)))</f>
        <v>13102.34744</v>
      </c>
      <c r="BX9" s="54">
        <f t="array" ref="BX9">IF(BX$2=1,Assumptions!$AF9/12,(SUMIF($D$2:$EE$2,BX$2-1,$D9:$EE9)/12)*(1+XLOOKUP(BX$2,Assumptions!$C$94:$M$94,Assumptions!$C$97:$M$97)))</f>
        <v>13495.41787</v>
      </c>
      <c r="BY9" s="54">
        <f t="array" ref="BY9">IF(BY$2=1,Assumptions!$AF9/12,(SUMIF($D$2:$EE$2,BY$2-1,$D9:$EE9)/12)*(1+XLOOKUP(BY$2,Assumptions!$C$94:$M$94,Assumptions!$C$97:$M$97)))</f>
        <v>13495.41787</v>
      </c>
      <c r="BZ9" s="54">
        <f t="array" ref="BZ9">IF(BZ$2=1,Assumptions!$AF9/12,(SUMIF($D$2:$EE$2,BZ$2-1,$D9:$EE9)/12)*(1+XLOOKUP(BZ$2,Assumptions!$C$94:$M$94,Assumptions!$C$97:$M$97)))</f>
        <v>13495.41787</v>
      </c>
      <c r="CA9" s="54">
        <f t="array" ref="CA9">IF(CA$2=1,Assumptions!$AF9/12,(SUMIF($D$2:$EE$2,CA$2-1,$D9:$EE9)/12)*(1+XLOOKUP(CA$2,Assumptions!$C$94:$M$94,Assumptions!$C$97:$M$97)))</f>
        <v>13495.41787</v>
      </c>
      <c r="CB9" s="54">
        <f t="array" ref="CB9">IF(CB$2=1,Assumptions!$AF9/12,(SUMIF($D$2:$EE$2,CB$2-1,$D9:$EE9)/12)*(1+XLOOKUP(CB$2,Assumptions!$C$94:$M$94,Assumptions!$C$97:$M$97)))</f>
        <v>13495.41787</v>
      </c>
      <c r="CC9" s="54">
        <f t="array" ref="CC9">IF(CC$2=1,Assumptions!$AF9/12,(SUMIF($D$2:$EE$2,CC$2-1,$D9:$EE9)/12)*(1+XLOOKUP(CC$2,Assumptions!$C$94:$M$94,Assumptions!$C$97:$M$97)))</f>
        <v>13495.41787</v>
      </c>
      <c r="CD9" s="54">
        <f t="array" ref="CD9">IF(CD$2=1,Assumptions!$AF9/12,(SUMIF($D$2:$EE$2,CD$2-1,$D9:$EE9)/12)*(1+XLOOKUP(CD$2,Assumptions!$C$94:$M$94,Assumptions!$C$97:$M$97)))</f>
        <v>13495.41787</v>
      </c>
      <c r="CE9" s="54">
        <f t="array" ref="CE9">IF(CE$2=1,Assumptions!$AF9/12,(SUMIF($D$2:$EE$2,CE$2-1,$D9:$EE9)/12)*(1+XLOOKUP(CE$2,Assumptions!$C$94:$M$94,Assumptions!$C$97:$M$97)))</f>
        <v>13495.41787</v>
      </c>
      <c r="CF9" s="54">
        <f t="array" ref="CF9">IF(CF$2=1,Assumptions!$AF9/12,(SUMIF($D$2:$EE$2,CF$2-1,$D9:$EE9)/12)*(1+XLOOKUP(CF$2,Assumptions!$C$94:$M$94,Assumptions!$C$97:$M$97)))</f>
        <v>13495.41787</v>
      </c>
      <c r="CG9" s="54">
        <f t="array" ref="CG9">IF(CG$2=1,Assumptions!$AF9/12,(SUMIF($D$2:$EE$2,CG$2-1,$D9:$EE9)/12)*(1+XLOOKUP(CG$2,Assumptions!$C$94:$M$94,Assumptions!$C$97:$M$97)))</f>
        <v>13495.41787</v>
      </c>
      <c r="CH9" s="54">
        <f t="array" ref="CH9">IF(CH$2=1,Assumptions!$AF9/12,(SUMIF($D$2:$EE$2,CH$2-1,$D9:$EE9)/12)*(1+XLOOKUP(CH$2,Assumptions!$C$94:$M$94,Assumptions!$C$97:$M$97)))</f>
        <v>13495.41787</v>
      </c>
      <c r="CI9" s="54">
        <f t="array" ref="CI9">IF(CI$2=1,Assumptions!$AF9/12,(SUMIF($D$2:$EE$2,CI$2-1,$D9:$EE9)/12)*(1+XLOOKUP(CI$2,Assumptions!$C$94:$M$94,Assumptions!$C$97:$M$97)))</f>
        <v>13495.41787</v>
      </c>
      <c r="CJ9" s="54">
        <f t="array" ref="CJ9">IF(CJ$2=1,Assumptions!$AF9/12,(SUMIF($D$2:$EE$2,CJ$2-1,$D9:$EE9)/12)*(1+XLOOKUP(CJ$2,Assumptions!$C$94:$M$94,Assumptions!$C$97:$M$97)))</f>
        <v>13900.2804</v>
      </c>
      <c r="CK9" s="54">
        <f t="array" ref="CK9">IF(CK$2=1,Assumptions!$AF9/12,(SUMIF($D$2:$EE$2,CK$2-1,$D9:$EE9)/12)*(1+XLOOKUP(CK$2,Assumptions!$C$94:$M$94,Assumptions!$C$97:$M$97)))</f>
        <v>13900.2804</v>
      </c>
      <c r="CL9" s="54">
        <f t="array" ref="CL9">IF(CL$2=1,Assumptions!$AF9/12,(SUMIF($D$2:$EE$2,CL$2-1,$D9:$EE9)/12)*(1+XLOOKUP(CL$2,Assumptions!$C$94:$M$94,Assumptions!$C$97:$M$97)))</f>
        <v>13900.2804</v>
      </c>
      <c r="CM9" s="54">
        <f t="array" ref="CM9">IF(CM$2=1,Assumptions!$AF9/12,(SUMIF($D$2:$EE$2,CM$2-1,$D9:$EE9)/12)*(1+XLOOKUP(CM$2,Assumptions!$C$94:$M$94,Assumptions!$C$97:$M$97)))</f>
        <v>13900.2804</v>
      </c>
      <c r="CN9" s="54">
        <f t="array" ref="CN9">IF(CN$2=1,Assumptions!$AF9/12,(SUMIF($D$2:$EE$2,CN$2-1,$D9:$EE9)/12)*(1+XLOOKUP(CN$2,Assumptions!$C$94:$M$94,Assumptions!$C$97:$M$97)))</f>
        <v>13900.2804</v>
      </c>
      <c r="CO9" s="54">
        <f t="array" ref="CO9">IF(CO$2=1,Assumptions!$AF9/12,(SUMIF($D$2:$EE$2,CO$2-1,$D9:$EE9)/12)*(1+XLOOKUP(CO$2,Assumptions!$C$94:$M$94,Assumptions!$C$97:$M$97)))</f>
        <v>13900.2804</v>
      </c>
      <c r="CP9" s="54">
        <f t="array" ref="CP9">IF(CP$2=1,Assumptions!$AF9/12,(SUMIF($D$2:$EE$2,CP$2-1,$D9:$EE9)/12)*(1+XLOOKUP(CP$2,Assumptions!$C$94:$M$94,Assumptions!$C$97:$M$97)))</f>
        <v>13900.2804</v>
      </c>
      <c r="CQ9" s="54">
        <f t="array" ref="CQ9">IF(CQ$2=1,Assumptions!$AF9/12,(SUMIF($D$2:$EE$2,CQ$2-1,$D9:$EE9)/12)*(1+XLOOKUP(CQ$2,Assumptions!$C$94:$M$94,Assumptions!$C$97:$M$97)))</f>
        <v>13900.2804</v>
      </c>
      <c r="CR9" s="54">
        <f t="array" ref="CR9">IF(CR$2=1,Assumptions!$AF9/12,(SUMIF($D$2:$EE$2,CR$2-1,$D9:$EE9)/12)*(1+XLOOKUP(CR$2,Assumptions!$C$94:$M$94,Assumptions!$C$97:$M$97)))</f>
        <v>13900.2804</v>
      </c>
      <c r="CS9" s="54">
        <f t="array" ref="CS9">IF(CS$2=1,Assumptions!$AF9/12,(SUMIF($D$2:$EE$2,CS$2-1,$D9:$EE9)/12)*(1+XLOOKUP(CS$2,Assumptions!$C$94:$M$94,Assumptions!$C$97:$M$97)))</f>
        <v>13900.2804</v>
      </c>
      <c r="CT9" s="54">
        <f t="array" ref="CT9">IF(CT$2=1,Assumptions!$AF9/12,(SUMIF($D$2:$EE$2,CT$2-1,$D9:$EE9)/12)*(1+XLOOKUP(CT$2,Assumptions!$C$94:$M$94,Assumptions!$C$97:$M$97)))</f>
        <v>13900.2804</v>
      </c>
      <c r="CU9" s="54">
        <f t="array" ref="CU9">IF(CU$2=1,Assumptions!$AF9/12,(SUMIF($D$2:$EE$2,CU$2-1,$D9:$EE9)/12)*(1+XLOOKUP(CU$2,Assumptions!$C$94:$M$94,Assumptions!$C$97:$M$97)))</f>
        <v>13900.2804</v>
      </c>
      <c r="CV9" s="54">
        <f t="array" ref="CV9">IF(CV$2=1,Assumptions!$AF9/12,(SUMIF($D$2:$EE$2,CV$2-1,$D9:$EE9)/12)*(1+XLOOKUP(CV$2,Assumptions!$C$94:$M$94,Assumptions!$C$97:$M$97)))</f>
        <v>14317.28881</v>
      </c>
      <c r="CW9" s="54">
        <f t="array" ref="CW9">IF(CW$2=1,Assumptions!$AF9/12,(SUMIF($D$2:$EE$2,CW$2-1,$D9:$EE9)/12)*(1+XLOOKUP(CW$2,Assumptions!$C$94:$M$94,Assumptions!$C$97:$M$97)))</f>
        <v>14317.28881</v>
      </c>
      <c r="CX9" s="54">
        <f t="array" ref="CX9">IF(CX$2=1,Assumptions!$AF9/12,(SUMIF($D$2:$EE$2,CX$2-1,$D9:$EE9)/12)*(1+XLOOKUP(CX$2,Assumptions!$C$94:$M$94,Assumptions!$C$97:$M$97)))</f>
        <v>14317.28881</v>
      </c>
      <c r="CY9" s="54">
        <f t="array" ref="CY9">IF(CY$2=1,Assumptions!$AF9/12,(SUMIF($D$2:$EE$2,CY$2-1,$D9:$EE9)/12)*(1+XLOOKUP(CY$2,Assumptions!$C$94:$M$94,Assumptions!$C$97:$M$97)))</f>
        <v>14317.28881</v>
      </c>
      <c r="CZ9" s="54">
        <f t="array" ref="CZ9">IF(CZ$2=1,Assumptions!$AF9/12,(SUMIF($D$2:$EE$2,CZ$2-1,$D9:$EE9)/12)*(1+XLOOKUP(CZ$2,Assumptions!$C$94:$M$94,Assumptions!$C$97:$M$97)))</f>
        <v>14317.28881</v>
      </c>
      <c r="DA9" s="54">
        <f t="array" ref="DA9">IF(DA$2=1,Assumptions!$AF9/12,(SUMIF($D$2:$EE$2,DA$2-1,$D9:$EE9)/12)*(1+XLOOKUP(DA$2,Assumptions!$C$94:$M$94,Assumptions!$C$97:$M$97)))</f>
        <v>14317.28881</v>
      </c>
      <c r="DB9" s="54">
        <f t="array" ref="DB9">IF(DB$2=1,Assumptions!$AF9/12,(SUMIF($D$2:$EE$2,DB$2-1,$D9:$EE9)/12)*(1+XLOOKUP(DB$2,Assumptions!$C$94:$M$94,Assumptions!$C$97:$M$97)))</f>
        <v>14317.28881</v>
      </c>
      <c r="DC9" s="54">
        <f t="array" ref="DC9">IF(DC$2=1,Assumptions!$AF9/12,(SUMIF($D$2:$EE$2,DC$2-1,$D9:$EE9)/12)*(1+XLOOKUP(DC$2,Assumptions!$C$94:$M$94,Assumptions!$C$97:$M$97)))</f>
        <v>14317.28881</v>
      </c>
      <c r="DD9" s="54">
        <f t="array" ref="DD9">IF(DD$2=1,Assumptions!$AF9/12,(SUMIF($D$2:$EE$2,DD$2-1,$D9:$EE9)/12)*(1+XLOOKUP(DD$2,Assumptions!$C$94:$M$94,Assumptions!$C$97:$M$97)))</f>
        <v>14317.28881</v>
      </c>
      <c r="DE9" s="54">
        <f t="array" ref="DE9">IF(DE$2=1,Assumptions!$AF9/12,(SUMIF($D$2:$EE$2,DE$2-1,$D9:$EE9)/12)*(1+XLOOKUP(DE$2,Assumptions!$C$94:$M$94,Assumptions!$C$97:$M$97)))</f>
        <v>14317.28881</v>
      </c>
      <c r="DF9" s="54">
        <f t="array" ref="DF9">IF(DF$2=1,Assumptions!$AF9/12,(SUMIF($D$2:$EE$2,DF$2-1,$D9:$EE9)/12)*(1+XLOOKUP(DF$2,Assumptions!$C$94:$M$94,Assumptions!$C$97:$M$97)))</f>
        <v>14317.28881</v>
      </c>
      <c r="DG9" s="54">
        <f t="array" ref="DG9">IF(DG$2=1,Assumptions!$AF9/12,(SUMIF($D$2:$EE$2,DG$2-1,$D9:$EE9)/12)*(1+XLOOKUP(DG$2,Assumptions!$C$94:$M$94,Assumptions!$C$97:$M$97)))</f>
        <v>14317.28881</v>
      </c>
      <c r="DH9" s="54">
        <f t="array" ref="DH9">IF(DH$2=1,Assumptions!$AF9/12,(SUMIF($D$2:$EE$2,DH$2-1,$D9:$EE9)/12)*(1+XLOOKUP(DH$2,Assumptions!$C$94:$M$94,Assumptions!$C$97:$M$97)))</f>
        <v>14746.80748</v>
      </c>
      <c r="DI9" s="54">
        <f t="array" ref="DI9">IF(DI$2=1,Assumptions!$AF9/12,(SUMIF($D$2:$EE$2,DI$2-1,$D9:$EE9)/12)*(1+XLOOKUP(DI$2,Assumptions!$C$94:$M$94,Assumptions!$C$97:$M$97)))</f>
        <v>14746.80748</v>
      </c>
      <c r="DJ9" s="54">
        <f t="array" ref="DJ9">IF(DJ$2=1,Assumptions!$AF9/12,(SUMIF($D$2:$EE$2,DJ$2-1,$D9:$EE9)/12)*(1+XLOOKUP(DJ$2,Assumptions!$C$94:$M$94,Assumptions!$C$97:$M$97)))</f>
        <v>14746.80748</v>
      </c>
      <c r="DK9" s="54">
        <f t="array" ref="DK9">IF(DK$2=1,Assumptions!$AF9/12,(SUMIF($D$2:$EE$2,DK$2-1,$D9:$EE9)/12)*(1+XLOOKUP(DK$2,Assumptions!$C$94:$M$94,Assumptions!$C$97:$M$97)))</f>
        <v>14746.80748</v>
      </c>
      <c r="DL9" s="54">
        <f t="array" ref="DL9">IF(DL$2=1,Assumptions!$AF9/12,(SUMIF($D$2:$EE$2,DL$2-1,$D9:$EE9)/12)*(1+XLOOKUP(DL$2,Assumptions!$C$94:$M$94,Assumptions!$C$97:$M$97)))</f>
        <v>14746.80748</v>
      </c>
      <c r="DM9" s="54">
        <f t="array" ref="DM9">IF(DM$2=1,Assumptions!$AF9/12,(SUMIF($D$2:$EE$2,DM$2-1,$D9:$EE9)/12)*(1+XLOOKUP(DM$2,Assumptions!$C$94:$M$94,Assumptions!$C$97:$M$97)))</f>
        <v>14746.80748</v>
      </c>
      <c r="DN9" s="54">
        <f t="array" ref="DN9">IF(DN$2=1,Assumptions!$AF9/12,(SUMIF($D$2:$EE$2,DN$2-1,$D9:$EE9)/12)*(1+XLOOKUP(DN$2,Assumptions!$C$94:$M$94,Assumptions!$C$97:$M$97)))</f>
        <v>14746.80748</v>
      </c>
      <c r="DO9" s="54">
        <f t="array" ref="DO9">IF(DO$2=1,Assumptions!$AF9/12,(SUMIF($D$2:$EE$2,DO$2-1,$D9:$EE9)/12)*(1+XLOOKUP(DO$2,Assumptions!$C$94:$M$94,Assumptions!$C$97:$M$97)))</f>
        <v>14746.80748</v>
      </c>
      <c r="DP9" s="54">
        <f t="array" ref="DP9">IF(DP$2=1,Assumptions!$AF9/12,(SUMIF($D$2:$EE$2,DP$2-1,$D9:$EE9)/12)*(1+XLOOKUP(DP$2,Assumptions!$C$94:$M$94,Assumptions!$C$97:$M$97)))</f>
        <v>14746.80748</v>
      </c>
      <c r="DQ9" s="54">
        <f t="array" ref="DQ9">IF(DQ$2=1,Assumptions!$AF9/12,(SUMIF($D$2:$EE$2,DQ$2-1,$D9:$EE9)/12)*(1+XLOOKUP(DQ$2,Assumptions!$C$94:$M$94,Assumptions!$C$97:$M$97)))</f>
        <v>14746.80748</v>
      </c>
      <c r="DR9" s="54">
        <f t="array" ref="DR9">IF(DR$2=1,Assumptions!$AF9/12,(SUMIF($D$2:$EE$2,DR$2-1,$D9:$EE9)/12)*(1+XLOOKUP(DR$2,Assumptions!$C$94:$M$94,Assumptions!$C$97:$M$97)))</f>
        <v>14746.80748</v>
      </c>
      <c r="DS9" s="54">
        <f t="array" ref="DS9">IF(DS$2=1,Assumptions!$AF9/12,(SUMIF($D$2:$EE$2,DS$2-1,$D9:$EE9)/12)*(1+XLOOKUP(DS$2,Assumptions!$C$94:$M$94,Assumptions!$C$97:$M$97)))</f>
        <v>14746.80748</v>
      </c>
      <c r="DT9" s="54">
        <f t="array" ref="DT9">IF(DT$2=1,Assumptions!$AF9/12,(SUMIF($D$2:$EE$2,DT$2-1,$D9:$EE9)/12)*(1+XLOOKUP(DT$2,Assumptions!$C$94:$M$94,Assumptions!$C$97:$M$97)))</f>
        <v>15189.2117</v>
      </c>
      <c r="DU9" s="54">
        <f t="array" ref="DU9">IF(DU$2=1,Assumptions!$AF9/12,(SUMIF($D$2:$EE$2,DU$2-1,$D9:$EE9)/12)*(1+XLOOKUP(DU$2,Assumptions!$C$94:$M$94,Assumptions!$C$97:$M$97)))</f>
        <v>15189.2117</v>
      </c>
      <c r="DV9" s="54">
        <f t="array" ref="DV9">IF(DV$2=1,Assumptions!$AF9/12,(SUMIF($D$2:$EE$2,DV$2-1,$D9:$EE9)/12)*(1+XLOOKUP(DV$2,Assumptions!$C$94:$M$94,Assumptions!$C$97:$M$97)))</f>
        <v>15189.2117</v>
      </c>
      <c r="DW9" s="54">
        <f t="array" ref="DW9">IF(DW$2=1,Assumptions!$AF9/12,(SUMIF($D$2:$EE$2,DW$2-1,$D9:$EE9)/12)*(1+XLOOKUP(DW$2,Assumptions!$C$94:$M$94,Assumptions!$C$97:$M$97)))</f>
        <v>15189.2117</v>
      </c>
      <c r="DX9" s="54">
        <f t="array" ref="DX9">IF(DX$2=1,Assumptions!$AF9/12,(SUMIF($D$2:$EE$2,DX$2-1,$D9:$EE9)/12)*(1+XLOOKUP(DX$2,Assumptions!$C$94:$M$94,Assumptions!$C$97:$M$97)))</f>
        <v>15189.2117</v>
      </c>
      <c r="DY9" s="54">
        <f t="array" ref="DY9">IF(DY$2=1,Assumptions!$AF9/12,(SUMIF($D$2:$EE$2,DY$2-1,$D9:$EE9)/12)*(1+XLOOKUP(DY$2,Assumptions!$C$94:$M$94,Assumptions!$C$97:$M$97)))</f>
        <v>15189.2117</v>
      </c>
      <c r="DZ9" s="54">
        <f t="array" ref="DZ9">IF(DZ$2=1,Assumptions!$AF9/12,(SUMIF($D$2:$EE$2,DZ$2-1,$D9:$EE9)/12)*(1+XLOOKUP(DZ$2,Assumptions!$C$94:$M$94,Assumptions!$C$97:$M$97)))</f>
        <v>15189.2117</v>
      </c>
      <c r="EA9" s="54">
        <f t="array" ref="EA9">IF(EA$2=1,Assumptions!$AF9/12,(SUMIF($D$2:$EE$2,EA$2-1,$D9:$EE9)/12)*(1+XLOOKUP(EA$2,Assumptions!$C$94:$M$94,Assumptions!$C$97:$M$97)))</f>
        <v>15189.2117</v>
      </c>
      <c r="EB9" s="54">
        <f t="array" ref="EB9">IF(EB$2=1,Assumptions!$AF9/12,(SUMIF($D$2:$EE$2,EB$2-1,$D9:$EE9)/12)*(1+XLOOKUP(EB$2,Assumptions!$C$94:$M$94,Assumptions!$C$97:$M$97)))</f>
        <v>15189.2117</v>
      </c>
      <c r="EC9" s="54">
        <f t="array" ref="EC9">IF(EC$2=1,Assumptions!$AF9/12,(SUMIF($D$2:$EE$2,EC$2-1,$D9:$EE9)/12)*(1+XLOOKUP(EC$2,Assumptions!$C$94:$M$94,Assumptions!$C$97:$M$97)))</f>
        <v>15189.2117</v>
      </c>
      <c r="ED9" s="54">
        <f t="array" ref="ED9">IF(ED$2=1,Assumptions!$AF9/12,(SUMIF($D$2:$EE$2,ED$2-1,$D9:$EE9)/12)*(1+XLOOKUP(ED$2,Assumptions!$C$94:$M$94,Assumptions!$C$97:$M$97)))</f>
        <v>15189.2117</v>
      </c>
      <c r="EE9" s="54">
        <f t="array" ref="EE9">IF(EE$2=1,Assumptions!$AF9/12,(SUMIF($D$2:$EE$2,EE$2-1,$D9:$EE9)/12)*(1+XLOOKUP(EE$2,Assumptions!$C$94:$M$94,Assumptions!$C$97:$M$97)))</f>
        <v>15189.2117</v>
      </c>
    </row>
    <row r="10" ht="15.75" customHeight="1">
      <c r="A10" s="1"/>
      <c r="B10" s="1"/>
      <c r="C10" s="1" t="str">
        <f>Assumptions!Z10</f>
        <v>4x2</v>
      </c>
      <c r="D10" s="54">
        <f t="array" ref="D10">IF(D$2=1,Assumptions!$AF10/12,(SUMIF($D$2:$EE$2,D$2-1,$D10:$EE10)/12)*(1+XLOOKUP(D$2,Assumptions!$C$94:$M$94,Assumptions!$C$97:$M$97)))</f>
        <v>12902.4</v>
      </c>
      <c r="E10" s="54">
        <f t="array" ref="E10">IF(E$2=1,Assumptions!$AF10/12,(SUMIF($D$2:$EE$2,E$2-1,$D10:$EE10)/12)*(1+XLOOKUP(E$2,Assumptions!$C$94:$M$94,Assumptions!$C$97:$M$97)))</f>
        <v>12902.4</v>
      </c>
      <c r="F10" s="54">
        <f t="array" ref="F10">IF(F$2=1,Assumptions!$AF10/12,(SUMIF($D$2:$EE$2,F$2-1,$D10:$EE10)/12)*(1+XLOOKUP(F$2,Assumptions!$C$94:$M$94,Assumptions!$C$97:$M$97)))</f>
        <v>12902.4</v>
      </c>
      <c r="G10" s="54">
        <f t="array" ref="G10">IF(G$2=1,Assumptions!$AF10/12,(SUMIF($D$2:$EE$2,G$2-1,$D10:$EE10)/12)*(1+XLOOKUP(G$2,Assumptions!$C$94:$M$94,Assumptions!$C$97:$M$97)))</f>
        <v>12902.4</v>
      </c>
      <c r="H10" s="54">
        <f t="array" ref="H10">IF(H$2=1,Assumptions!$AF10/12,(SUMIF($D$2:$EE$2,H$2-1,$D10:$EE10)/12)*(1+XLOOKUP(H$2,Assumptions!$C$94:$M$94,Assumptions!$C$97:$M$97)))</f>
        <v>12902.4</v>
      </c>
      <c r="I10" s="54">
        <f t="array" ref="I10">IF(I$2=1,Assumptions!$AF10/12,(SUMIF($D$2:$EE$2,I$2-1,$D10:$EE10)/12)*(1+XLOOKUP(I$2,Assumptions!$C$94:$M$94,Assumptions!$C$97:$M$97)))</f>
        <v>12902.4</v>
      </c>
      <c r="J10" s="54">
        <f t="array" ref="J10">IF(J$2=1,Assumptions!$AF10/12,(SUMIF($D$2:$EE$2,J$2-1,$D10:$EE10)/12)*(1+XLOOKUP(J$2,Assumptions!$C$94:$M$94,Assumptions!$C$97:$M$97)))</f>
        <v>12902.4</v>
      </c>
      <c r="K10" s="54">
        <f t="array" ref="K10">IF(K$2=1,Assumptions!$AF10/12,(SUMIF($D$2:$EE$2,K$2-1,$D10:$EE10)/12)*(1+XLOOKUP(K$2,Assumptions!$C$94:$M$94,Assumptions!$C$97:$M$97)))</f>
        <v>12902.4</v>
      </c>
      <c r="L10" s="54">
        <f t="array" ref="L10">IF(L$2=1,Assumptions!$AF10/12,(SUMIF($D$2:$EE$2,L$2-1,$D10:$EE10)/12)*(1+XLOOKUP(L$2,Assumptions!$C$94:$M$94,Assumptions!$C$97:$M$97)))</f>
        <v>12902.4</v>
      </c>
      <c r="M10" s="54">
        <f t="array" ref="M10">IF(M$2=1,Assumptions!$AF10/12,(SUMIF($D$2:$EE$2,M$2-1,$D10:$EE10)/12)*(1+XLOOKUP(M$2,Assumptions!$C$94:$M$94,Assumptions!$C$97:$M$97)))</f>
        <v>12902.4</v>
      </c>
      <c r="N10" s="54">
        <f t="array" ref="N10">IF(N$2=1,Assumptions!$AF10/12,(SUMIF($D$2:$EE$2,N$2-1,$D10:$EE10)/12)*(1+XLOOKUP(N$2,Assumptions!$C$94:$M$94,Assumptions!$C$97:$M$97)))</f>
        <v>12902.4</v>
      </c>
      <c r="O10" s="54">
        <f t="array" ref="O10">IF(O$2=1,Assumptions!$AF10/12,(SUMIF($D$2:$EE$2,O$2-1,$D10:$EE10)/12)*(1+XLOOKUP(O$2,Assumptions!$C$94:$M$94,Assumptions!$C$97:$M$97)))</f>
        <v>12902.4</v>
      </c>
      <c r="P10" s="54">
        <f t="array" ref="P10">IF(P$2=1,Assumptions!$AF10/12,(SUMIF($D$2:$EE$2,P$2-1,$D10:$EE10)/12)*(1+XLOOKUP(P$2,Assumptions!$C$94:$M$94,Assumptions!$C$97:$M$97)))</f>
        <v>13289.472</v>
      </c>
      <c r="Q10" s="54">
        <f t="array" ref="Q10">IF(Q$2=1,Assumptions!$AF10/12,(SUMIF($D$2:$EE$2,Q$2-1,$D10:$EE10)/12)*(1+XLOOKUP(Q$2,Assumptions!$C$94:$M$94,Assumptions!$C$97:$M$97)))</f>
        <v>13289.472</v>
      </c>
      <c r="R10" s="54">
        <f t="array" ref="R10">IF(R$2=1,Assumptions!$AF10/12,(SUMIF($D$2:$EE$2,R$2-1,$D10:$EE10)/12)*(1+XLOOKUP(R$2,Assumptions!$C$94:$M$94,Assumptions!$C$97:$M$97)))</f>
        <v>13289.472</v>
      </c>
      <c r="S10" s="54">
        <f t="array" ref="S10">IF(S$2=1,Assumptions!$AF10/12,(SUMIF($D$2:$EE$2,S$2-1,$D10:$EE10)/12)*(1+XLOOKUP(S$2,Assumptions!$C$94:$M$94,Assumptions!$C$97:$M$97)))</f>
        <v>13289.472</v>
      </c>
      <c r="T10" s="54">
        <f t="array" ref="T10">IF(T$2=1,Assumptions!$AF10/12,(SUMIF($D$2:$EE$2,T$2-1,$D10:$EE10)/12)*(1+XLOOKUP(T$2,Assumptions!$C$94:$M$94,Assumptions!$C$97:$M$97)))</f>
        <v>13289.472</v>
      </c>
      <c r="U10" s="54">
        <f t="array" ref="U10">IF(U$2=1,Assumptions!$AF10/12,(SUMIF($D$2:$EE$2,U$2-1,$D10:$EE10)/12)*(1+XLOOKUP(U$2,Assumptions!$C$94:$M$94,Assumptions!$C$97:$M$97)))</f>
        <v>13289.472</v>
      </c>
      <c r="V10" s="54">
        <f t="array" ref="V10">IF(V$2=1,Assumptions!$AF10/12,(SUMIF($D$2:$EE$2,V$2-1,$D10:$EE10)/12)*(1+XLOOKUP(V$2,Assumptions!$C$94:$M$94,Assumptions!$C$97:$M$97)))</f>
        <v>13289.472</v>
      </c>
      <c r="W10" s="54">
        <f t="array" ref="W10">IF(W$2=1,Assumptions!$AF10/12,(SUMIF($D$2:$EE$2,W$2-1,$D10:$EE10)/12)*(1+XLOOKUP(W$2,Assumptions!$C$94:$M$94,Assumptions!$C$97:$M$97)))</f>
        <v>13289.472</v>
      </c>
      <c r="X10" s="54">
        <f t="array" ref="X10">IF(X$2=1,Assumptions!$AF10/12,(SUMIF($D$2:$EE$2,X$2-1,$D10:$EE10)/12)*(1+XLOOKUP(X$2,Assumptions!$C$94:$M$94,Assumptions!$C$97:$M$97)))</f>
        <v>13289.472</v>
      </c>
      <c r="Y10" s="54">
        <f t="array" ref="Y10">IF(Y$2=1,Assumptions!$AF10/12,(SUMIF($D$2:$EE$2,Y$2-1,$D10:$EE10)/12)*(1+XLOOKUP(Y$2,Assumptions!$C$94:$M$94,Assumptions!$C$97:$M$97)))</f>
        <v>13289.472</v>
      </c>
      <c r="Z10" s="54">
        <f t="array" ref="Z10">IF(Z$2=1,Assumptions!$AF10/12,(SUMIF($D$2:$EE$2,Z$2-1,$D10:$EE10)/12)*(1+XLOOKUP(Z$2,Assumptions!$C$94:$M$94,Assumptions!$C$97:$M$97)))</f>
        <v>13289.472</v>
      </c>
      <c r="AA10" s="54">
        <f t="array" ref="AA10">IF(AA$2=1,Assumptions!$AF10/12,(SUMIF($D$2:$EE$2,AA$2-1,$D10:$EE10)/12)*(1+XLOOKUP(AA$2,Assumptions!$C$94:$M$94,Assumptions!$C$97:$M$97)))</f>
        <v>13289.472</v>
      </c>
      <c r="AB10" s="54">
        <f t="array" ref="AB10">IF(AB$2=1,Assumptions!$AF10/12,(SUMIF($D$2:$EE$2,AB$2-1,$D10:$EE10)/12)*(1+XLOOKUP(AB$2,Assumptions!$C$94:$M$94,Assumptions!$C$97:$M$97)))</f>
        <v>13688.15616</v>
      </c>
      <c r="AC10" s="54">
        <f t="array" ref="AC10">IF(AC$2=1,Assumptions!$AF10/12,(SUMIF($D$2:$EE$2,AC$2-1,$D10:$EE10)/12)*(1+XLOOKUP(AC$2,Assumptions!$C$94:$M$94,Assumptions!$C$97:$M$97)))</f>
        <v>13688.15616</v>
      </c>
      <c r="AD10" s="54">
        <f t="array" ref="AD10">IF(AD$2=1,Assumptions!$AF10/12,(SUMIF($D$2:$EE$2,AD$2-1,$D10:$EE10)/12)*(1+XLOOKUP(AD$2,Assumptions!$C$94:$M$94,Assumptions!$C$97:$M$97)))</f>
        <v>13688.15616</v>
      </c>
      <c r="AE10" s="54">
        <f t="array" ref="AE10">IF(AE$2=1,Assumptions!$AF10/12,(SUMIF($D$2:$EE$2,AE$2-1,$D10:$EE10)/12)*(1+XLOOKUP(AE$2,Assumptions!$C$94:$M$94,Assumptions!$C$97:$M$97)))</f>
        <v>13688.15616</v>
      </c>
      <c r="AF10" s="54">
        <f t="array" ref="AF10">IF(AF$2=1,Assumptions!$AF10/12,(SUMIF($D$2:$EE$2,AF$2-1,$D10:$EE10)/12)*(1+XLOOKUP(AF$2,Assumptions!$C$94:$M$94,Assumptions!$C$97:$M$97)))</f>
        <v>13688.15616</v>
      </c>
      <c r="AG10" s="54">
        <f t="array" ref="AG10">IF(AG$2=1,Assumptions!$AF10/12,(SUMIF($D$2:$EE$2,AG$2-1,$D10:$EE10)/12)*(1+XLOOKUP(AG$2,Assumptions!$C$94:$M$94,Assumptions!$C$97:$M$97)))</f>
        <v>13688.15616</v>
      </c>
      <c r="AH10" s="54">
        <f t="array" ref="AH10">IF(AH$2=1,Assumptions!$AF10/12,(SUMIF($D$2:$EE$2,AH$2-1,$D10:$EE10)/12)*(1+XLOOKUP(AH$2,Assumptions!$C$94:$M$94,Assumptions!$C$97:$M$97)))</f>
        <v>13688.15616</v>
      </c>
      <c r="AI10" s="54">
        <f t="array" ref="AI10">IF(AI$2=1,Assumptions!$AF10/12,(SUMIF($D$2:$EE$2,AI$2-1,$D10:$EE10)/12)*(1+XLOOKUP(AI$2,Assumptions!$C$94:$M$94,Assumptions!$C$97:$M$97)))</f>
        <v>13688.15616</v>
      </c>
      <c r="AJ10" s="54">
        <f t="array" ref="AJ10">IF(AJ$2=1,Assumptions!$AF10/12,(SUMIF($D$2:$EE$2,AJ$2-1,$D10:$EE10)/12)*(1+XLOOKUP(AJ$2,Assumptions!$C$94:$M$94,Assumptions!$C$97:$M$97)))</f>
        <v>13688.15616</v>
      </c>
      <c r="AK10" s="54">
        <f t="array" ref="AK10">IF(AK$2=1,Assumptions!$AF10/12,(SUMIF($D$2:$EE$2,AK$2-1,$D10:$EE10)/12)*(1+XLOOKUP(AK$2,Assumptions!$C$94:$M$94,Assumptions!$C$97:$M$97)))</f>
        <v>13688.15616</v>
      </c>
      <c r="AL10" s="54">
        <f t="array" ref="AL10">IF(AL$2=1,Assumptions!$AF10/12,(SUMIF($D$2:$EE$2,AL$2-1,$D10:$EE10)/12)*(1+XLOOKUP(AL$2,Assumptions!$C$94:$M$94,Assumptions!$C$97:$M$97)))</f>
        <v>13688.15616</v>
      </c>
      <c r="AM10" s="54">
        <f t="array" ref="AM10">IF(AM$2=1,Assumptions!$AF10/12,(SUMIF($D$2:$EE$2,AM$2-1,$D10:$EE10)/12)*(1+XLOOKUP(AM$2,Assumptions!$C$94:$M$94,Assumptions!$C$97:$M$97)))</f>
        <v>13688.15616</v>
      </c>
      <c r="AN10" s="54">
        <f t="array" ref="AN10">IF(AN$2=1,Assumptions!$AF10/12,(SUMIF($D$2:$EE$2,AN$2-1,$D10:$EE10)/12)*(1+XLOOKUP(AN$2,Assumptions!$C$94:$M$94,Assumptions!$C$97:$M$97)))</f>
        <v>14098.80084</v>
      </c>
      <c r="AO10" s="54">
        <f t="array" ref="AO10">IF(AO$2=1,Assumptions!$AF10/12,(SUMIF($D$2:$EE$2,AO$2-1,$D10:$EE10)/12)*(1+XLOOKUP(AO$2,Assumptions!$C$94:$M$94,Assumptions!$C$97:$M$97)))</f>
        <v>14098.80084</v>
      </c>
      <c r="AP10" s="54">
        <f t="array" ref="AP10">IF(AP$2=1,Assumptions!$AF10/12,(SUMIF($D$2:$EE$2,AP$2-1,$D10:$EE10)/12)*(1+XLOOKUP(AP$2,Assumptions!$C$94:$M$94,Assumptions!$C$97:$M$97)))</f>
        <v>14098.80084</v>
      </c>
      <c r="AQ10" s="54">
        <f t="array" ref="AQ10">IF(AQ$2=1,Assumptions!$AF10/12,(SUMIF($D$2:$EE$2,AQ$2-1,$D10:$EE10)/12)*(1+XLOOKUP(AQ$2,Assumptions!$C$94:$M$94,Assumptions!$C$97:$M$97)))</f>
        <v>14098.80084</v>
      </c>
      <c r="AR10" s="54">
        <f t="array" ref="AR10">IF(AR$2=1,Assumptions!$AF10/12,(SUMIF($D$2:$EE$2,AR$2-1,$D10:$EE10)/12)*(1+XLOOKUP(AR$2,Assumptions!$C$94:$M$94,Assumptions!$C$97:$M$97)))</f>
        <v>14098.80084</v>
      </c>
      <c r="AS10" s="54">
        <f t="array" ref="AS10">IF(AS$2=1,Assumptions!$AF10/12,(SUMIF($D$2:$EE$2,AS$2-1,$D10:$EE10)/12)*(1+XLOOKUP(AS$2,Assumptions!$C$94:$M$94,Assumptions!$C$97:$M$97)))</f>
        <v>14098.80084</v>
      </c>
      <c r="AT10" s="54">
        <f t="array" ref="AT10">IF(AT$2=1,Assumptions!$AF10/12,(SUMIF($D$2:$EE$2,AT$2-1,$D10:$EE10)/12)*(1+XLOOKUP(AT$2,Assumptions!$C$94:$M$94,Assumptions!$C$97:$M$97)))</f>
        <v>14098.80084</v>
      </c>
      <c r="AU10" s="54">
        <f t="array" ref="AU10">IF(AU$2=1,Assumptions!$AF10/12,(SUMIF($D$2:$EE$2,AU$2-1,$D10:$EE10)/12)*(1+XLOOKUP(AU$2,Assumptions!$C$94:$M$94,Assumptions!$C$97:$M$97)))</f>
        <v>14098.80084</v>
      </c>
      <c r="AV10" s="54">
        <f t="array" ref="AV10">IF(AV$2=1,Assumptions!$AF10/12,(SUMIF($D$2:$EE$2,AV$2-1,$D10:$EE10)/12)*(1+XLOOKUP(AV$2,Assumptions!$C$94:$M$94,Assumptions!$C$97:$M$97)))</f>
        <v>14098.80084</v>
      </c>
      <c r="AW10" s="54">
        <f t="array" ref="AW10">IF(AW$2=1,Assumptions!$AF10/12,(SUMIF($D$2:$EE$2,AW$2-1,$D10:$EE10)/12)*(1+XLOOKUP(AW$2,Assumptions!$C$94:$M$94,Assumptions!$C$97:$M$97)))</f>
        <v>14098.80084</v>
      </c>
      <c r="AX10" s="54">
        <f t="array" ref="AX10">IF(AX$2=1,Assumptions!$AF10/12,(SUMIF($D$2:$EE$2,AX$2-1,$D10:$EE10)/12)*(1+XLOOKUP(AX$2,Assumptions!$C$94:$M$94,Assumptions!$C$97:$M$97)))</f>
        <v>14098.80084</v>
      </c>
      <c r="AY10" s="54">
        <f t="array" ref="AY10">IF(AY$2=1,Assumptions!$AF10/12,(SUMIF($D$2:$EE$2,AY$2-1,$D10:$EE10)/12)*(1+XLOOKUP(AY$2,Assumptions!$C$94:$M$94,Assumptions!$C$97:$M$97)))</f>
        <v>14098.80084</v>
      </c>
      <c r="AZ10" s="54">
        <f t="array" ref="AZ10">IF(AZ$2=1,Assumptions!$AF10/12,(SUMIF($D$2:$EE$2,AZ$2-1,$D10:$EE10)/12)*(1+XLOOKUP(AZ$2,Assumptions!$C$94:$M$94,Assumptions!$C$97:$M$97)))</f>
        <v>14521.76487</v>
      </c>
      <c r="BA10" s="54">
        <f t="array" ref="BA10">IF(BA$2=1,Assumptions!$AF10/12,(SUMIF($D$2:$EE$2,BA$2-1,$D10:$EE10)/12)*(1+XLOOKUP(BA$2,Assumptions!$C$94:$M$94,Assumptions!$C$97:$M$97)))</f>
        <v>14521.76487</v>
      </c>
      <c r="BB10" s="54">
        <f t="array" ref="BB10">IF(BB$2=1,Assumptions!$AF10/12,(SUMIF($D$2:$EE$2,BB$2-1,$D10:$EE10)/12)*(1+XLOOKUP(BB$2,Assumptions!$C$94:$M$94,Assumptions!$C$97:$M$97)))</f>
        <v>14521.76487</v>
      </c>
      <c r="BC10" s="54">
        <f t="array" ref="BC10">IF(BC$2=1,Assumptions!$AF10/12,(SUMIF($D$2:$EE$2,BC$2-1,$D10:$EE10)/12)*(1+XLOOKUP(BC$2,Assumptions!$C$94:$M$94,Assumptions!$C$97:$M$97)))</f>
        <v>14521.76487</v>
      </c>
      <c r="BD10" s="54">
        <f t="array" ref="BD10">IF(BD$2=1,Assumptions!$AF10/12,(SUMIF($D$2:$EE$2,BD$2-1,$D10:$EE10)/12)*(1+XLOOKUP(BD$2,Assumptions!$C$94:$M$94,Assumptions!$C$97:$M$97)))</f>
        <v>14521.76487</v>
      </c>
      <c r="BE10" s="54">
        <f t="array" ref="BE10">IF(BE$2=1,Assumptions!$AF10/12,(SUMIF($D$2:$EE$2,BE$2-1,$D10:$EE10)/12)*(1+XLOOKUP(BE$2,Assumptions!$C$94:$M$94,Assumptions!$C$97:$M$97)))</f>
        <v>14521.76487</v>
      </c>
      <c r="BF10" s="54">
        <f t="array" ref="BF10">IF(BF$2=1,Assumptions!$AF10/12,(SUMIF($D$2:$EE$2,BF$2-1,$D10:$EE10)/12)*(1+XLOOKUP(BF$2,Assumptions!$C$94:$M$94,Assumptions!$C$97:$M$97)))</f>
        <v>14521.76487</v>
      </c>
      <c r="BG10" s="54">
        <f t="array" ref="BG10">IF(BG$2=1,Assumptions!$AF10/12,(SUMIF($D$2:$EE$2,BG$2-1,$D10:$EE10)/12)*(1+XLOOKUP(BG$2,Assumptions!$C$94:$M$94,Assumptions!$C$97:$M$97)))</f>
        <v>14521.76487</v>
      </c>
      <c r="BH10" s="54">
        <f t="array" ref="BH10">IF(BH$2=1,Assumptions!$AF10/12,(SUMIF($D$2:$EE$2,BH$2-1,$D10:$EE10)/12)*(1+XLOOKUP(BH$2,Assumptions!$C$94:$M$94,Assumptions!$C$97:$M$97)))</f>
        <v>14521.76487</v>
      </c>
      <c r="BI10" s="54">
        <f t="array" ref="BI10">IF(BI$2=1,Assumptions!$AF10/12,(SUMIF($D$2:$EE$2,BI$2-1,$D10:$EE10)/12)*(1+XLOOKUP(BI$2,Assumptions!$C$94:$M$94,Assumptions!$C$97:$M$97)))</f>
        <v>14521.76487</v>
      </c>
      <c r="BJ10" s="54">
        <f t="array" ref="BJ10">IF(BJ$2=1,Assumptions!$AF10/12,(SUMIF($D$2:$EE$2,BJ$2-1,$D10:$EE10)/12)*(1+XLOOKUP(BJ$2,Assumptions!$C$94:$M$94,Assumptions!$C$97:$M$97)))</f>
        <v>14521.76487</v>
      </c>
      <c r="BK10" s="54">
        <f t="array" ref="BK10">IF(BK$2=1,Assumptions!$AF10/12,(SUMIF($D$2:$EE$2,BK$2-1,$D10:$EE10)/12)*(1+XLOOKUP(BK$2,Assumptions!$C$94:$M$94,Assumptions!$C$97:$M$97)))</f>
        <v>14521.76487</v>
      </c>
      <c r="BL10" s="54">
        <f t="array" ref="BL10">IF(BL$2=1,Assumptions!$AF10/12,(SUMIF($D$2:$EE$2,BL$2-1,$D10:$EE10)/12)*(1+XLOOKUP(BL$2,Assumptions!$C$94:$M$94,Assumptions!$C$97:$M$97)))</f>
        <v>14957.41782</v>
      </c>
      <c r="BM10" s="54">
        <f t="array" ref="BM10">IF(BM$2=1,Assumptions!$AF10/12,(SUMIF($D$2:$EE$2,BM$2-1,$D10:$EE10)/12)*(1+XLOOKUP(BM$2,Assumptions!$C$94:$M$94,Assumptions!$C$97:$M$97)))</f>
        <v>14957.41782</v>
      </c>
      <c r="BN10" s="54">
        <f t="array" ref="BN10">IF(BN$2=1,Assumptions!$AF10/12,(SUMIF($D$2:$EE$2,BN$2-1,$D10:$EE10)/12)*(1+XLOOKUP(BN$2,Assumptions!$C$94:$M$94,Assumptions!$C$97:$M$97)))</f>
        <v>14957.41782</v>
      </c>
      <c r="BO10" s="54">
        <f t="array" ref="BO10">IF(BO$2=1,Assumptions!$AF10/12,(SUMIF($D$2:$EE$2,BO$2-1,$D10:$EE10)/12)*(1+XLOOKUP(BO$2,Assumptions!$C$94:$M$94,Assumptions!$C$97:$M$97)))</f>
        <v>14957.41782</v>
      </c>
      <c r="BP10" s="54">
        <f t="array" ref="BP10">IF(BP$2=1,Assumptions!$AF10/12,(SUMIF($D$2:$EE$2,BP$2-1,$D10:$EE10)/12)*(1+XLOOKUP(BP$2,Assumptions!$C$94:$M$94,Assumptions!$C$97:$M$97)))</f>
        <v>14957.41782</v>
      </c>
      <c r="BQ10" s="54">
        <f t="array" ref="BQ10">IF(BQ$2=1,Assumptions!$AF10/12,(SUMIF($D$2:$EE$2,BQ$2-1,$D10:$EE10)/12)*(1+XLOOKUP(BQ$2,Assumptions!$C$94:$M$94,Assumptions!$C$97:$M$97)))</f>
        <v>14957.41782</v>
      </c>
      <c r="BR10" s="54">
        <f t="array" ref="BR10">IF(BR$2=1,Assumptions!$AF10/12,(SUMIF($D$2:$EE$2,BR$2-1,$D10:$EE10)/12)*(1+XLOOKUP(BR$2,Assumptions!$C$94:$M$94,Assumptions!$C$97:$M$97)))</f>
        <v>14957.41782</v>
      </c>
      <c r="BS10" s="54">
        <f t="array" ref="BS10">IF(BS$2=1,Assumptions!$AF10/12,(SUMIF($D$2:$EE$2,BS$2-1,$D10:$EE10)/12)*(1+XLOOKUP(BS$2,Assumptions!$C$94:$M$94,Assumptions!$C$97:$M$97)))</f>
        <v>14957.41782</v>
      </c>
      <c r="BT10" s="54">
        <f t="array" ref="BT10">IF(BT$2=1,Assumptions!$AF10/12,(SUMIF($D$2:$EE$2,BT$2-1,$D10:$EE10)/12)*(1+XLOOKUP(BT$2,Assumptions!$C$94:$M$94,Assumptions!$C$97:$M$97)))</f>
        <v>14957.41782</v>
      </c>
      <c r="BU10" s="54">
        <f t="array" ref="BU10">IF(BU$2=1,Assumptions!$AF10/12,(SUMIF($D$2:$EE$2,BU$2-1,$D10:$EE10)/12)*(1+XLOOKUP(BU$2,Assumptions!$C$94:$M$94,Assumptions!$C$97:$M$97)))</f>
        <v>14957.41782</v>
      </c>
      <c r="BV10" s="54">
        <f t="array" ref="BV10">IF(BV$2=1,Assumptions!$AF10/12,(SUMIF($D$2:$EE$2,BV$2-1,$D10:$EE10)/12)*(1+XLOOKUP(BV$2,Assumptions!$C$94:$M$94,Assumptions!$C$97:$M$97)))</f>
        <v>14957.41782</v>
      </c>
      <c r="BW10" s="54">
        <f t="array" ref="BW10">IF(BW$2=1,Assumptions!$AF10/12,(SUMIF($D$2:$EE$2,BW$2-1,$D10:$EE10)/12)*(1+XLOOKUP(BW$2,Assumptions!$C$94:$M$94,Assumptions!$C$97:$M$97)))</f>
        <v>14957.41782</v>
      </c>
      <c r="BX10" s="54">
        <f t="array" ref="BX10">IF(BX$2=1,Assumptions!$AF10/12,(SUMIF($D$2:$EE$2,BX$2-1,$D10:$EE10)/12)*(1+XLOOKUP(BX$2,Assumptions!$C$94:$M$94,Assumptions!$C$97:$M$97)))</f>
        <v>15406.14035</v>
      </c>
      <c r="BY10" s="54">
        <f t="array" ref="BY10">IF(BY$2=1,Assumptions!$AF10/12,(SUMIF($D$2:$EE$2,BY$2-1,$D10:$EE10)/12)*(1+XLOOKUP(BY$2,Assumptions!$C$94:$M$94,Assumptions!$C$97:$M$97)))</f>
        <v>15406.14035</v>
      </c>
      <c r="BZ10" s="54">
        <f t="array" ref="BZ10">IF(BZ$2=1,Assumptions!$AF10/12,(SUMIF($D$2:$EE$2,BZ$2-1,$D10:$EE10)/12)*(1+XLOOKUP(BZ$2,Assumptions!$C$94:$M$94,Assumptions!$C$97:$M$97)))</f>
        <v>15406.14035</v>
      </c>
      <c r="CA10" s="54">
        <f t="array" ref="CA10">IF(CA$2=1,Assumptions!$AF10/12,(SUMIF($D$2:$EE$2,CA$2-1,$D10:$EE10)/12)*(1+XLOOKUP(CA$2,Assumptions!$C$94:$M$94,Assumptions!$C$97:$M$97)))</f>
        <v>15406.14035</v>
      </c>
      <c r="CB10" s="54">
        <f t="array" ref="CB10">IF(CB$2=1,Assumptions!$AF10/12,(SUMIF($D$2:$EE$2,CB$2-1,$D10:$EE10)/12)*(1+XLOOKUP(CB$2,Assumptions!$C$94:$M$94,Assumptions!$C$97:$M$97)))</f>
        <v>15406.14035</v>
      </c>
      <c r="CC10" s="54">
        <f t="array" ref="CC10">IF(CC$2=1,Assumptions!$AF10/12,(SUMIF($D$2:$EE$2,CC$2-1,$D10:$EE10)/12)*(1+XLOOKUP(CC$2,Assumptions!$C$94:$M$94,Assumptions!$C$97:$M$97)))</f>
        <v>15406.14035</v>
      </c>
      <c r="CD10" s="54">
        <f t="array" ref="CD10">IF(CD$2=1,Assumptions!$AF10/12,(SUMIF($D$2:$EE$2,CD$2-1,$D10:$EE10)/12)*(1+XLOOKUP(CD$2,Assumptions!$C$94:$M$94,Assumptions!$C$97:$M$97)))</f>
        <v>15406.14035</v>
      </c>
      <c r="CE10" s="54">
        <f t="array" ref="CE10">IF(CE$2=1,Assumptions!$AF10/12,(SUMIF($D$2:$EE$2,CE$2-1,$D10:$EE10)/12)*(1+XLOOKUP(CE$2,Assumptions!$C$94:$M$94,Assumptions!$C$97:$M$97)))</f>
        <v>15406.14035</v>
      </c>
      <c r="CF10" s="54">
        <f t="array" ref="CF10">IF(CF$2=1,Assumptions!$AF10/12,(SUMIF($D$2:$EE$2,CF$2-1,$D10:$EE10)/12)*(1+XLOOKUP(CF$2,Assumptions!$C$94:$M$94,Assumptions!$C$97:$M$97)))</f>
        <v>15406.14035</v>
      </c>
      <c r="CG10" s="54">
        <f t="array" ref="CG10">IF(CG$2=1,Assumptions!$AF10/12,(SUMIF($D$2:$EE$2,CG$2-1,$D10:$EE10)/12)*(1+XLOOKUP(CG$2,Assumptions!$C$94:$M$94,Assumptions!$C$97:$M$97)))</f>
        <v>15406.14035</v>
      </c>
      <c r="CH10" s="54">
        <f t="array" ref="CH10">IF(CH$2=1,Assumptions!$AF10/12,(SUMIF($D$2:$EE$2,CH$2-1,$D10:$EE10)/12)*(1+XLOOKUP(CH$2,Assumptions!$C$94:$M$94,Assumptions!$C$97:$M$97)))</f>
        <v>15406.14035</v>
      </c>
      <c r="CI10" s="54">
        <f t="array" ref="CI10">IF(CI$2=1,Assumptions!$AF10/12,(SUMIF($D$2:$EE$2,CI$2-1,$D10:$EE10)/12)*(1+XLOOKUP(CI$2,Assumptions!$C$94:$M$94,Assumptions!$C$97:$M$97)))</f>
        <v>15406.14035</v>
      </c>
      <c r="CJ10" s="54">
        <f t="array" ref="CJ10">IF(CJ$2=1,Assumptions!$AF10/12,(SUMIF($D$2:$EE$2,CJ$2-1,$D10:$EE10)/12)*(1+XLOOKUP(CJ$2,Assumptions!$C$94:$M$94,Assumptions!$C$97:$M$97)))</f>
        <v>15868.32456</v>
      </c>
      <c r="CK10" s="54">
        <f t="array" ref="CK10">IF(CK$2=1,Assumptions!$AF10/12,(SUMIF($D$2:$EE$2,CK$2-1,$D10:$EE10)/12)*(1+XLOOKUP(CK$2,Assumptions!$C$94:$M$94,Assumptions!$C$97:$M$97)))</f>
        <v>15868.32456</v>
      </c>
      <c r="CL10" s="54">
        <f t="array" ref="CL10">IF(CL$2=1,Assumptions!$AF10/12,(SUMIF($D$2:$EE$2,CL$2-1,$D10:$EE10)/12)*(1+XLOOKUP(CL$2,Assumptions!$C$94:$M$94,Assumptions!$C$97:$M$97)))</f>
        <v>15868.32456</v>
      </c>
      <c r="CM10" s="54">
        <f t="array" ref="CM10">IF(CM$2=1,Assumptions!$AF10/12,(SUMIF($D$2:$EE$2,CM$2-1,$D10:$EE10)/12)*(1+XLOOKUP(CM$2,Assumptions!$C$94:$M$94,Assumptions!$C$97:$M$97)))</f>
        <v>15868.32456</v>
      </c>
      <c r="CN10" s="54">
        <f t="array" ref="CN10">IF(CN$2=1,Assumptions!$AF10/12,(SUMIF($D$2:$EE$2,CN$2-1,$D10:$EE10)/12)*(1+XLOOKUP(CN$2,Assumptions!$C$94:$M$94,Assumptions!$C$97:$M$97)))</f>
        <v>15868.32456</v>
      </c>
      <c r="CO10" s="54">
        <f t="array" ref="CO10">IF(CO$2=1,Assumptions!$AF10/12,(SUMIF($D$2:$EE$2,CO$2-1,$D10:$EE10)/12)*(1+XLOOKUP(CO$2,Assumptions!$C$94:$M$94,Assumptions!$C$97:$M$97)))</f>
        <v>15868.32456</v>
      </c>
      <c r="CP10" s="54">
        <f t="array" ref="CP10">IF(CP$2=1,Assumptions!$AF10/12,(SUMIF($D$2:$EE$2,CP$2-1,$D10:$EE10)/12)*(1+XLOOKUP(CP$2,Assumptions!$C$94:$M$94,Assumptions!$C$97:$M$97)))</f>
        <v>15868.32456</v>
      </c>
      <c r="CQ10" s="54">
        <f t="array" ref="CQ10">IF(CQ$2=1,Assumptions!$AF10/12,(SUMIF($D$2:$EE$2,CQ$2-1,$D10:$EE10)/12)*(1+XLOOKUP(CQ$2,Assumptions!$C$94:$M$94,Assumptions!$C$97:$M$97)))</f>
        <v>15868.32456</v>
      </c>
      <c r="CR10" s="54">
        <f t="array" ref="CR10">IF(CR$2=1,Assumptions!$AF10/12,(SUMIF($D$2:$EE$2,CR$2-1,$D10:$EE10)/12)*(1+XLOOKUP(CR$2,Assumptions!$C$94:$M$94,Assumptions!$C$97:$M$97)))</f>
        <v>15868.32456</v>
      </c>
      <c r="CS10" s="54">
        <f t="array" ref="CS10">IF(CS$2=1,Assumptions!$AF10/12,(SUMIF($D$2:$EE$2,CS$2-1,$D10:$EE10)/12)*(1+XLOOKUP(CS$2,Assumptions!$C$94:$M$94,Assumptions!$C$97:$M$97)))</f>
        <v>15868.32456</v>
      </c>
      <c r="CT10" s="54">
        <f t="array" ref="CT10">IF(CT$2=1,Assumptions!$AF10/12,(SUMIF($D$2:$EE$2,CT$2-1,$D10:$EE10)/12)*(1+XLOOKUP(CT$2,Assumptions!$C$94:$M$94,Assumptions!$C$97:$M$97)))</f>
        <v>15868.32456</v>
      </c>
      <c r="CU10" s="54">
        <f t="array" ref="CU10">IF(CU$2=1,Assumptions!$AF10/12,(SUMIF($D$2:$EE$2,CU$2-1,$D10:$EE10)/12)*(1+XLOOKUP(CU$2,Assumptions!$C$94:$M$94,Assumptions!$C$97:$M$97)))</f>
        <v>15868.32456</v>
      </c>
      <c r="CV10" s="54">
        <f t="array" ref="CV10">IF(CV$2=1,Assumptions!$AF10/12,(SUMIF($D$2:$EE$2,CV$2-1,$D10:$EE10)/12)*(1+XLOOKUP(CV$2,Assumptions!$C$94:$M$94,Assumptions!$C$97:$M$97)))</f>
        <v>16344.3743</v>
      </c>
      <c r="CW10" s="54">
        <f t="array" ref="CW10">IF(CW$2=1,Assumptions!$AF10/12,(SUMIF($D$2:$EE$2,CW$2-1,$D10:$EE10)/12)*(1+XLOOKUP(CW$2,Assumptions!$C$94:$M$94,Assumptions!$C$97:$M$97)))</f>
        <v>16344.3743</v>
      </c>
      <c r="CX10" s="54">
        <f t="array" ref="CX10">IF(CX$2=1,Assumptions!$AF10/12,(SUMIF($D$2:$EE$2,CX$2-1,$D10:$EE10)/12)*(1+XLOOKUP(CX$2,Assumptions!$C$94:$M$94,Assumptions!$C$97:$M$97)))</f>
        <v>16344.3743</v>
      </c>
      <c r="CY10" s="54">
        <f t="array" ref="CY10">IF(CY$2=1,Assumptions!$AF10/12,(SUMIF($D$2:$EE$2,CY$2-1,$D10:$EE10)/12)*(1+XLOOKUP(CY$2,Assumptions!$C$94:$M$94,Assumptions!$C$97:$M$97)))</f>
        <v>16344.3743</v>
      </c>
      <c r="CZ10" s="54">
        <f t="array" ref="CZ10">IF(CZ$2=1,Assumptions!$AF10/12,(SUMIF($D$2:$EE$2,CZ$2-1,$D10:$EE10)/12)*(1+XLOOKUP(CZ$2,Assumptions!$C$94:$M$94,Assumptions!$C$97:$M$97)))</f>
        <v>16344.3743</v>
      </c>
      <c r="DA10" s="54">
        <f t="array" ref="DA10">IF(DA$2=1,Assumptions!$AF10/12,(SUMIF($D$2:$EE$2,DA$2-1,$D10:$EE10)/12)*(1+XLOOKUP(DA$2,Assumptions!$C$94:$M$94,Assumptions!$C$97:$M$97)))</f>
        <v>16344.3743</v>
      </c>
      <c r="DB10" s="54">
        <f t="array" ref="DB10">IF(DB$2=1,Assumptions!$AF10/12,(SUMIF($D$2:$EE$2,DB$2-1,$D10:$EE10)/12)*(1+XLOOKUP(DB$2,Assumptions!$C$94:$M$94,Assumptions!$C$97:$M$97)))</f>
        <v>16344.3743</v>
      </c>
      <c r="DC10" s="54">
        <f t="array" ref="DC10">IF(DC$2=1,Assumptions!$AF10/12,(SUMIF($D$2:$EE$2,DC$2-1,$D10:$EE10)/12)*(1+XLOOKUP(DC$2,Assumptions!$C$94:$M$94,Assumptions!$C$97:$M$97)))</f>
        <v>16344.3743</v>
      </c>
      <c r="DD10" s="54">
        <f t="array" ref="DD10">IF(DD$2=1,Assumptions!$AF10/12,(SUMIF($D$2:$EE$2,DD$2-1,$D10:$EE10)/12)*(1+XLOOKUP(DD$2,Assumptions!$C$94:$M$94,Assumptions!$C$97:$M$97)))</f>
        <v>16344.3743</v>
      </c>
      <c r="DE10" s="54">
        <f t="array" ref="DE10">IF(DE$2=1,Assumptions!$AF10/12,(SUMIF($D$2:$EE$2,DE$2-1,$D10:$EE10)/12)*(1+XLOOKUP(DE$2,Assumptions!$C$94:$M$94,Assumptions!$C$97:$M$97)))</f>
        <v>16344.3743</v>
      </c>
      <c r="DF10" s="54">
        <f t="array" ref="DF10">IF(DF$2=1,Assumptions!$AF10/12,(SUMIF($D$2:$EE$2,DF$2-1,$D10:$EE10)/12)*(1+XLOOKUP(DF$2,Assumptions!$C$94:$M$94,Assumptions!$C$97:$M$97)))</f>
        <v>16344.3743</v>
      </c>
      <c r="DG10" s="54">
        <f t="array" ref="DG10">IF(DG$2=1,Assumptions!$AF10/12,(SUMIF($D$2:$EE$2,DG$2-1,$D10:$EE10)/12)*(1+XLOOKUP(DG$2,Assumptions!$C$94:$M$94,Assumptions!$C$97:$M$97)))</f>
        <v>16344.3743</v>
      </c>
      <c r="DH10" s="54">
        <f t="array" ref="DH10">IF(DH$2=1,Assumptions!$AF10/12,(SUMIF($D$2:$EE$2,DH$2-1,$D10:$EE10)/12)*(1+XLOOKUP(DH$2,Assumptions!$C$94:$M$94,Assumptions!$C$97:$M$97)))</f>
        <v>16834.70553</v>
      </c>
      <c r="DI10" s="54">
        <f t="array" ref="DI10">IF(DI$2=1,Assumptions!$AF10/12,(SUMIF($D$2:$EE$2,DI$2-1,$D10:$EE10)/12)*(1+XLOOKUP(DI$2,Assumptions!$C$94:$M$94,Assumptions!$C$97:$M$97)))</f>
        <v>16834.70553</v>
      </c>
      <c r="DJ10" s="54">
        <f t="array" ref="DJ10">IF(DJ$2=1,Assumptions!$AF10/12,(SUMIF($D$2:$EE$2,DJ$2-1,$D10:$EE10)/12)*(1+XLOOKUP(DJ$2,Assumptions!$C$94:$M$94,Assumptions!$C$97:$M$97)))</f>
        <v>16834.70553</v>
      </c>
      <c r="DK10" s="54">
        <f t="array" ref="DK10">IF(DK$2=1,Assumptions!$AF10/12,(SUMIF($D$2:$EE$2,DK$2-1,$D10:$EE10)/12)*(1+XLOOKUP(DK$2,Assumptions!$C$94:$M$94,Assumptions!$C$97:$M$97)))</f>
        <v>16834.70553</v>
      </c>
      <c r="DL10" s="54">
        <f t="array" ref="DL10">IF(DL$2=1,Assumptions!$AF10/12,(SUMIF($D$2:$EE$2,DL$2-1,$D10:$EE10)/12)*(1+XLOOKUP(DL$2,Assumptions!$C$94:$M$94,Assumptions!$C$97:$M$97)))</f>
        <v>16834.70553</v>
      </c>
      <c r="DM10" s="54">
        <f t="array" ref="DM10">IF(DM$2=1,Assumptions!$AF10/12,(SUMIF($D$2:$EE$2,DM$2-1,$D10:$EE10)/12)*(1+XLOOKUP(DM$2,Assumptions!$C$94:$M$94,Assumptions!$C$97:$M$97)))</f>
        <v>16834.70553</v>
      </c>
      <c r="DN10" s="54">
        <f t="array" ref="DN10">IF(DN$2=1,Assumptions!$AF10/12,(SUMIF($D$2:$EE$2,DN$2-1,$D10:$EE10)/12)*(1+XLOOKUP(DN$2,Assumptions!$C$94:$M$94,Assumptions!$C$97:$M$97)))</f>
        <v>16834.70553</v>
      </c>
      <c r="DO10" s="54">
        <f t="array" ref="DO10">IF(DO$2=1,Assumptions!$AF10/12,(SUMIF($D$2:$EE$2,DO$2-1,$D10:$EE10)/12)*(1+XLOOKUP(DO$2,Assumptions!$C$94:$M$94,Assumptions!$C$97:$M$97)))</f>
        <v>16834.70553</v>
      </c>
      <c r="DP10" s="54">
        <f t="array" ref="DP10">IF(DP$2=1,Assumptions!$AF10/12,(SUMIF($D$2:$EE$2,DP$2-1,$D10:$EE10)/12)*(1+XLOOKUP(DP$2,Assumptions!$C$94:$M$94,Assumptions!$C$97:$M$97)))</f>
        <v>16834.70553</v>
      </c>
      <c r="DQ10" s="54">
        <f t="array" ref="DQ10">IF(DQ$2=1,Assumptions!$AF10/12,(SUMIF($D$2:$EE$2,DQ$2-1,$D10:$EE10)/12)*(1+XLOOKUP(DQ$2,Assumptions!$C$94:$M$94,Assumptions!$C$97:$M$97)))</f>
        <v>16834.70553</v>
      </c>
      <c r="DR10" s="54">
        <f t="array" ref="DR10">IF(DR$2=1,Assumptions!$AF10/12,(SUMIF($D$2:$EE$2,DR$2-1,$D10:$EE10)/12)*(1+XLOOKUP(DR$2,Assumptions!$C$94:$M$94,Assumptions!$C$97:$M$97)))</f>
        <v>16834.70553</v>
      </c>
      <c r="DS10" s="54">
        <f t="array" ref="DS10">IF(DS$2=1,Assumptions!$AF10/12,(SUMIF($D$2:$EE$2,DS$2-1,$D10:$EE10)/12)*(1+XLOOKUP(DS$2,Assumptions!$C$94:$M$94,Assumptions!$C$97:$M$97)))</f>
        <v>16834.70553</v>
      </c>
      <c r="DT10" s="54">
        <f t="array" ref="DT10">IF(DT$2=1,Assumptions!$AF10/12,(SUMIF($D$2:$EE$2,DT$2-1,$D10:$EE10)/12)*(1+XLOOKUP(DT$2,Assumptions!$C$94:$M$94,Assumptions!$C$97:$M$97)))</f>
        <v>17339.74669</v>
      </c>
      <c r="DU10" s="54">
        <f t="array" ref="DU10">IF(DU$2=1,Assumptions!$AF10/12,(SUMIF($D$2:$EE$2,DU$2-1,$D10:$EE10)/12)*(1+XLOOKUP(DU$2,Assumptions!$C$94:$M$94,Assumptions!$C$97:$M$97)))</f>
        <v>17339.74669</v>
      </c>
      <c r="DV10" s="54">
        <f t="array" ref="DV10">IF(DV$2=1,Assumptions!$AF10/12,(SUMIF($D$2:$EE$2,DV$2-1,$D10:$EE10)/12)*(1+XLOOKUP(DV$2,Assumptions!$C$94:$M$94,Assumptions!$C$97:$M$97)))</f>
        <v>17339.74669</v>
      </c>
      <c r="DW10" s="54">
        <f t="array" ref="DW10">IF(DW$2=1,Assumptions!$AF10/12,(SUMIF($D$2:$EE$2,DW$2-1,$D10:$EE10)/12)*(1+XLOOKUP(DW$2,Assumptions!$C$94:$M$94,Assumptions!$C$97:$M$97)))</f>
        <v>17339.74669</v>
      </c>
      <c r="DX10" s="54">
        <f t="array" ref="DX10">IF(DX$2=1,Assumptions!$AF10/12,(SUMIF($D$2:$EE$2,DX$2-1,$D10:$EE10)/12)*(1+XLOOKUP(DX$2,Assumptions!$C$94:$M$94,Assumptions!$C$97:$M$97)))</f>
        <v>17339.74669</v>
      </c>
      <c r="DY10" s="54">
        <f t="array" ref="DY10">IF(DY$2=1,Assumptions!$AF10/12,(SUMIF($D$2:$EE$2,DY$2-1,$D10:$EE10)/12)*(1+XLOOKUP(DY$2,Assumptions!$C$94:$M$94,Assumptions!$C$97:$M$97)))</f>
        <v>17339.74669</v>
      </c>
      <c r="DZ10" s="54">
        <f t="array" ref="DZ10">IF(DZ$2=1,Assumptions!$AF10/12,(SUMIF($D$2:$EE$2,DZ$2-1,$D10:$EE10)/12)*(1+XLOOKUP(DZ$2,Assumptions!$C$94:$M$94,Assumptions!$C$97:$M$97)))</f>
        <v>17339.74669</v>
      </c>
      <c r="EA10" s="54">
        <f t="array" ref="EA10">IF(EA$2=1,Assumptions!$AF10/12,(SUMIF($D$2:$EE$2,EA$2-1,$D10:$EE10)/12)*(1+XLOOKUP(EA$2,Assumptions!$C$94:$M$94,Assumptions!$C$97:$M$97)))</f>
        <v>17339.74669</v>
      </c>
      <c r="EB10" s="54">
        <f t="array" ref="EB10">IF(EB$2=1,Assumptions!$AF10/12,(SUMIF($D$2:$EE$2,EB$2-1,$D10:$EE10)/12)*(1+XLOOKUP(EB$2,Assumptions!$C$94:$M$94,Assumptions!$C$97:$M$97)))</f>
        <v>17339.74669</v>
      </c>
      <c r="EC10" s="54">
        <f t="array" ref="EC10">IF(EC$2=1,Assumptions!$AF10/12,(SUMIF($D$2:$EE$2,EC$2-1,$D10:$EE10)/12)*(1+XLOOKUP(EC$2,Assumptions!$C$94:$M$94,Assumptions!$C$97:$M$97)))</f>
        <v>17339.74669</v>
      </c>
      <c r="ED10" s="54">
        <f t="array" ref="ED10">IF(ED$2=1,Assumptions!$AF10/12,(SUMIF($D$2:$EE$2,ED$2-1,$D10:$EE10)/12)*(1+XLOOKUP(ED$2,Assumptions!$C$94:$M$94,Assumptions!$C$97:$M$97)))</f>
        <v>17339.74669</v>
      </c>
      <c r="EE10" s="54">
        <f t="array" ref="EE10">IF(EE$2=1,Assumptions!$AF10/12,(SUMIF($D$2:$EE$2,EE$2-1,$D10:$EE10)/12)*(1+XLOOKUP(EE$2,Assumptions!$C$94:$M$94,Assumptions!$C$97:$M$97)))</f>
        <v>17339.74669</v>
      </c>
    </row>
    <row r="11" ht="15.75" customHeight="1">
      <c r="A11" s="1"/>
      <c r="B11" s="1"/>
      <c r="C11" s="1" t="str">
        <f>Assumptions!Z11</f>
        <v>4x3</v>
      </c>
      <c r="D11" s="54">
        <f t="array" ref="D11">IF(D$2=1,Assumptions!$AF11/12,(SUMIF($D$2:$EE$2,D$2-1,$D11:$EE11)/12)*(1+XLOOKUP(D$2,Assumptions!$C$94:$M$94,Assumptions!$C$97:$M$97)))</f>
        <v>27283.2</v>
      </c>
      <c r="E11" s="54">
        <f t="array" ref="E11">IF(E$2=1,Assumptions!$AF11/12,(SUMIF($D$2:$EE$2,E$2-1,$D11:$EE11)/12)*(1+XLOOKUP(E$2,Assumptions!$C$94:$M$94,Assumptions!$C$97:$M$97)))</f>
        <v>27283.2</v>
      </c>
      <c r="F11" s="54">
        <f t="array" ref="F11">IF(F$2=1,Assumptions!$AF11/12,(SUMIF($D$2:$EE$2,F$2-1,$D11:$EE11)/12)*(1+XLOOKUP(F$2,Assumptions!$C$94:$M$94,Assumptions!$C$97:$M$97)))</f>
        <v>27283.2</v>
      </c>
      <c r="G11" s="54">
        <f t="array" ref="G11">IF(G$2=1,Assumptions!$AF11/12,(SUMIF($D$2:$EE$2,G$2-1,$D11:$EE11)/12)*(1+XLOOKUP(G$2,Assumptions!$C$94:$M$94,Assumptions!$C$97:$M$97)))</f>
        <v>27283.2</v>
      </c>
      <c r="H11" s="54">
        <f t="array" ref="H11">IF(H$2=1,Assumptions!$AF11/12,(SUMIF($D$2:$EE$2,H$2-1,$D11:$EE11)/12)*(1+XLOOKUP(H$2,Assumptions!$C$94:$M$94,Assumptions!$C$97:$M$97)))</f>
        <v>27283.2</v>
      </c>
      <c r="I11" s="54">
        <f t="array" ref="I11">IF(I$2=1,Assumptions!$AF11/12,(SUMIF($D$2:$EE$2,I$2-1,$D11:$EE11)/12)*(1+XLOOKUP(I$2,Assumptions!$C$94:$M$94,Assumptions!$C$97:$M$97)))</f>
        <v>27283.2</v>
      </c>
      <c r="J11" s="54">
        <f t="array" ref="J11">IF(J$2=1,Assumptions!$AF11/12,(SUMIF($D$2:$EE$2,J$2-1,$D11:$EE11)/12)*(1+XLOOKUP(J$2,Assumptions!$C$94:$M$94,Assumptions!$C$97:$M$97)))</f>
        <v>27283.2</v>
      </c>
      <c r="K11" s="54">
        <f t="array" ref="K11">IF(K$2=1,Assumptions!$AF11/12,(SUMIF($D$2:$EE$2,K$2-1,$D11:$EE11)/12)*(1+XLOOKUP(K$2,Assumptions!$C$94:$M$94,Assumptions!$C$97:$M$97)))</f>
        <v>27283.2</v>
      </c>
      <c r="L11" s="54">
        <f t="array" ref="L11">IF(L$2=1,Assumptions!$AF11/12,(SUMIF($D$2:$EE$2,L$2-1,$D11:$EE11)/12)*(1+XLOOKUP(L$2,Assumptions!$C$94:$M$94,Assumptions!$C$97:$M$97)))</f>
        <v>27283.2</v>
      </c>
      <c r="M11" s="54">
        <f t="array" ref="M11">IF(M$2=1,Assumptions!$AF11/12,(SUMIF($D$2:$EE$2,M$2-1,$D11:$EE11)/12)*(1+XLOOKUP(M$2,Assumptions!$C$94:$M$94,Assumptions!$C$97:$M$97)))</f>
        <v>27283.2</v>
      </c>
      <c r="N11" s="54">
        <f t="array" ref="N11">IF(N$2=1,Assumptions!$AF11/12,(SUMIF($D$2:$EE$2,N$2-1,$D11:$EE11)/12)*(1+XLOOKUP(N$2,Assumptions!$C$94:$M$94,Assumptions!$C$97:$M$97)))</f>
        <v>27283.2</v>
      </c>
      <c r="O11" s="54">
        <f t="array" ref="O11">IF(O$2=1,Assumptions!$AF11/12,(SUMIF($D$2:$EE$2,O$2-1,$D11:$EE11)/12)*(1+XLOOKUP(O$2,Assumptions!$C$94:$M$94,Assumptions!$C$97:$M$97)))</f>
        <v>27283.2</v>
      </c>
      <c r="P11" s="54">
        <f t="array" ref="P11">IF(P$2=1,Assumptions!$AF11/12,(SUMIF($D$2:$EE$2,P$2-1,$D11:$EE11)/12)*(1+XLOOKUP(P$2,Assumptions!$C$94:$M$94,Assumptions!$C$97:$M$97)))</f>
        <v>28101.696</v>
      </c>
      <c r="Q11" s="54">
        <f t="array" ref="Q11">IF(Q$2=1,Assumptions!$AF11/12,(SUMIF($D$2:$EE$2,Q$2-1,$D11:$EE11)/12)*(1+XLOOKUP(Q$2,Assumptions!$C$94:$M$94,Assumptions!$C$97:$M$97)))</f>
        <v>28101.696</v>
      </c>
      <c r="R11" s="54">
        <f t="array" ref="R11">IF(R$2=1,Assumptions!$AF11/12,(SUMIF($D$2:$EE$2,R$2-1,$D11:$EE11)/12)*(1+XLOOKUP(R$2,Assumptions!$C$94:$M$94,Assumptions!$C$97:$M$97)))</f>
        <v>28101.696</v>
      </c>
      <c r="S11" s="54">
        <f t="array" ref="S11">IF(S$2=1,Assumptions!$AF11/12,(SUMIF($D$2:$EE$2,S$2-1,$D11:$EE11)/12)*(1+XLOOKUP(S$2,Assumptions!$C$94:$M$94,Assumptions!$C$97:$M$97)))</f>
        <v>28101.696</v>
      </c>
      <c r="T11" s="54">
        <f t="array" ref="T11">IF(T$2=1,Assumptions!$AF11/12,(SUMIF($D$2:$EE$2,T$2-1,$D11:$EE11)/12)*(1+XLOOKUP(T$2,Assumptions!$C$94:$M$94,Assumptions!$C$97:$M$97)))</f>
        <v>28101.696</v>
      </c>
      <c r="U11" s="54">
        <f t="array" ref="U11">IF(U$2=1,Assumptions!$AF11/12,(SUMIF($D$2:$EE$2,U$2-1,$D11:$EE11)/12)*(1+XLOOKUP(U$2,Assumptions!$C$94:$M$94,Assumptions!$C$97:$M$97)))</f>
        <v>28101.696</v>
      </c>
      <c r="V11" s="54">
        <f t="array" ref="V11">IF(V$2=1,Assumptions!$AF11/12,(SUMIF($D$2:$EE$2,V$2-1,$D11:$EE11)/12)*(1+XLOOKUP(V$2,Assumptions!$C$94:$M$94,Assumptions!$C$97:$M$97)))</f>
        <v>28101.696</v>
      </c>
      <c r="W11" s="54">
        <f t="array" ref="W11">IF(W$2=1,Assumptions!$AF11/12,(SUMIF($D$2:$EE$2,W$2-1,$D11:$EE11)/12)*(1+XLOOKUP(W$2,Assumptions!$C$94:$M$94,Assumptions!$C$97:$M$97)))</f>
        <v>28101.696</v>
      </c>
      <c r="X11" s="54">
        <f t="array" ref="X11">IF(X$2=1,Assumptions!$AF11/12,(SUMIF($D$2:$EE$2,X$2-1,$D11:$EE11)/12)*(1+XLOOKUP(X$2,Assumptions!$C$94:$M$94,Assumptions!$C$97:$M$97)))</f>
        <v>28101.696</v>
      </c>
      <c r="Y11" s="54">
        <f t="array" ref="Y11">IF(Y$2=1,Assumptions!$AF11/12,(SUMIF($D$2:$EE$2,Y$2-1,$D11:$EE11)/12)*(1+XLOOKUP(Y$2,Assumptions!$C$94:$M$94,Assumptions!$C$97:$M$97)))</f>
        <v>28101.696</v>
      </c>
      <c r="Z11" s="54">
        <f t="array" ref="Z11">IF(Z$2=1,Assumptions!$AF11/12,(SUMIF($D$2:$EE$2,Z$2-1,$D11:$EE11)/12)*(1+XLOOKUP(Z$2,Assumptions!$C$94:$M$94,Assumptions!$C$97:$M$97)))</f>
        <v>28101.696</v>
      </c>
      <c r="AA11" s="54">
        <f t="array" ref="AA11">IF(AA$2=1,Assumptions!$AF11/12,(SUMIF($D$2:$EE$2,AA$2-1,$D11:$EE11)/12)*(1+XLOOKUP(AA$2,Assumptions!$C$94:$M$94,Assumptions!$C$97:$M$97)))</f>
        <v>28101.696</v>
      </c>
      <c r="AB11" s="54">
        <f t="array" ref="AB11">IF(AB$2=1,Assumptions!$AF11/12,(SUMIF($D$2:$EE$2,AB$2-1,$D11:$EE11)/12)*(1+XLOOKUP(AB$2,Assumptions!$C$94:$M$94,Assumptions!$C$97:$M$97)))</f>
        <v>28944.74688</v>
      </c>
      <c r="AC11" s="54">
        <f t="array" ref="AC11">IF(AC$2=1,Assumptions!$AF11/12,(SUMIF($D$2:$EE$2,AC$2-1,$D11:$EE11)/12)*(1+XLOOKUP(AC$2,Assumptions!$C$94:$M$94,Assumptions!$C$97:$M$97)))</f>
        <v>28944.74688</v>
      </c>
      <c r="AD11" s="54">
        <f t="array" ref="AD11">IF(AD$2=1,Assumptions!$AF11/12,(SUMIF($D$2:$EE$2,AD$2-1,$D11:$EE11)/12)*(1+XLOOKUP(AD$2,Assumptions!$C$94:$M$94,Assumptions!$C$97:$M$97)))</f>
        <v>28944.74688</v>
      </c>
      <c r="AE11" s="54">
        <f t="array" ref="AE11">IF(AE$2=1,Assumptions!$AF11/12,(SUMIF($D$2:$EE$2,AE$2-1,$D11:$EE11)/12)*(1+XLOOKUP(AE$2,Assumptions!$C$94:$M$94,Assumptions!$C$97:$M$97)))</f>
        <v>28944.74688</v>
      </c>
      <c r="AF11" s="54">
        <f t="array" ref="AF11">IF(AF$2=1,Assumptions!$AF11/12,(SUMIF($D$2:$EE$2,AF$2-1,$D11:$EE11)/12)*(1+XLOOKUP(AF$2,Assumptions!$C$94:$M$94,Assumptions!$C$97:$M$97)))</f>
        <v>28944.74688</v>
      </c>
      <c r="AG11" s="54">
        <f t="array" ref="AG11">IF(AG$2=1,Assumptions!$AF11/12,(SUMIF($D$2:$EE$2,AG$2-1,$D11:$EE11)/12)*(1+XLOOKUP(AG$2,Assumptions!$C$94:$M$94,Assumptions!$C$97:$M$97)))</f>
        <v>28944.74688</v>
      </c>
      <c r="AH11" s="54">
        <f t="array" ref="AH11">IF(AH$2=1,Assumptions!$AF11/12,(SUMIF($D$2:$EE$2,AH$2-1,$D11:$EE11)/12)*(1+XLOOKUP(AH$2,Assumptions!$C$94:$M$94,Assumptions!$C$97:$M$97)))</f>
        <v>28944.74688</v>
      </c>
      <c r="AI11" s="54">
        <f t="array" ref="AI11">IF(AI$2=1,Assumptions!$AF11/12,(SUMIF($D$2:$EE$2,AI$2-1,$D11:$EE11)/12)*(1+XLOOKUP(AI$2,Assumptions!$C$94:$M$94,Assumptions!$C$97:$M$97)))</f>
        <v>28944.74688</v>
      </c>
      <c r="AJ11" s="54">
        <f t="array" ref="AJ11">IF(AJ$2=1,Assumptions!$AF11/12,(SUMIF($D$2:$EE$2,AJ$2-1,$D11:$EE11)/12)*(1+XLOOKUP(AJ$2,Assumptions!$C$94:$M$94,Assumptions!$C$97:$M$97)))</f>
        <v>28944.74688</v>
      </c>
      <c r="AK11" s="54">
        <f t="array" ref="AK11">IF(AK$2=1,Assumptions!$AF11/12,(SUMIF($D$2:$EE$2,AK$2-1,$D11:$EE11)/12)*(1+XLOOKUP(AK$2,Assumptions!$C$94:$M$94,Assumptions!$C$97:$M$97)))</f>
        <v>28944.74688</v>
      </c>
      <c r="AL11" s="54">
        <f t="array" ref="AL11">IF(AL$2=1,Assumptions!$AF11/12,(SUMIF($D$2:$EE$2,AL$2-1,$D11:$EE11)/12)*(1+XLOOKUP(AL$2,Assumptions!$C$94:$M$94,Assumptions!$C$97:$M$97)))</f>
        <v>28944.74688</v>
      </c>
      <c r="AM11" s="54">
        <f t="array" ref="AM11">IF(AM$2=1,Assumptions!$AF11/12,(SUMIF($D$2:$EE$2,AM$2-1,$D11:$EE11)/12)*(1+XLOOKUP(AM$2,Assumptions!$C$94:$M$94,Assumptions!$C$97:$M$97)))</f>
        <v>28944.74688</v>
      </c>
      <c r="AN11" s="54">
        <f t="array" ref="AN11">IF(AN$2=1,Assumptions!$AF11/12,(SUMIF($D$2:$EE$2,AN$2-1,$D11:$EE11)/12)*(1+XLOOKUP(AN$2,Assumptions!$C$94:$M$94,Assumptions!$C$97:$M$97)))</f>
        <v>29813.08929</v>
      </c>
      <c r="AO11" s="54">
        <f t="array" ref="AO11">IF(AO$2=1,Assumptions!$AF11/12,(SUMIF($D$2:$EE$2,AO$2-1,$D11:$EE11)/12)*(1+XLOOKUP(AO$2,Assumptions!$C$94:$M$94,Assumptions!$C$97:$M$97)))</f>
        <v>29813.08929</v>
      </c>
      <c r="AP11" s="54">
        <f t="array" ref="AP11">IF(AP$2=1,Assumptions!$AF11/12,(SUMIF($D$2:$EE$2,AP$2-1,$D11:$EE11)/12)*(1+XLOOKUP(AP$2,Assumptions!$C$94:$M$94,Assumptions!$C$97:$M$97)))</f>
        <v>29813.08929</v>
      </c>
      <c r="AQ11" s="54">
        <f t="array" ref="AQ11">IF(AQ$2=1,Assumptions!$AF11/12,(SUMIF($D$2:$EE$2,AQ$2-1,$D11:$EE11)/12)*(1+XLOOKUP(AQ$2,Assumptions!$C$94:$M$94,Assumptions!$C$97:$M$97)))</f>
        <v>29813.08929</v>
      </c>
      <c r="AR11" s="54">
        <f t="array" ref="AR11">IF(AR$2=1,Assumptions!$AF11/12,(SUMIF($D$2:$EE$2,AR$2-1,$D11:$EE11)/12)*(1+XLOOKUP(AR$2,Assumptions!$C$94:$M$94,Assumptions!$C$97:$M$97)))</f>
        <v>29813.08929</v>
      </c>
      <c r="AS11" s="54">
        <f t="array" ref="AS11">IF(AS$2=1,Assumptions!$AF11/12,(SUMIF($D$2:$EE$2,AS$2-1,$D11:$EE11)/12)*(1+XLOOKUP(AS$2,Assumptions!$C$94:$M$94,Assumptions!$C$97:$M$97)))</f>
        <v>29813.08929</v>
      </c>
      <c r="AT11" s="54">
        <f t="array" ref="AT11">IF(AT$2=1,Assumptions!$AF11/12,(SUMIF($D$2:$EE$2,AT$2-1,$D11:$EE11)/12)*(1+XLOOKUP(AT$2,Assumptions!$C$94:$M$94,Assumptions!$C$97:$M$97)))</f>
        <v>29813.08929</v>
      </c>
      <c r="AU11" s="54">
        <f t="array" ref="AU11">IF(AU$2=1,Assumptions!$AF11/12,(SUMIF($D$2:$EE$2,AU$2-1,$D11:$EE11)/12)*(1+XLOOKUP(AU$2,Assumptions!$C$94:$M$94,Assumptions!$C$97:$M$97)))</f>
        <v>29813.08929</v>
      </c>
      <c r="AV11" s="54">
        <f t="array" ref="AV11">IF(AV$2=1,Assumptions!$AF11/12,(SUMIF($D$2:$EE$2,AV$2-1,$D11:$EE11)/12)*(1+XLOOKUP(AV$2,Assumptions!$C$94:$M$94,Assumptions!$C$97:$M$97)))</f>
        <v>29813.08929</v>
      </c>
      <c r="AW11" s="54">
        <f t="array" ref="AW11">IF(AW$2=1,Assumptions!$AF11/12,(SUMIF($D$2:$EE$2,AW$2-1,$D11:$EE11)/12)*(1+XLOOKUP(AW$2,Assumptions!$C$94:$M$94,Assumptions!$C$97:$M$97)))</f>
        <v>29813.08929</v>
      </c>
      <c r="AX11" s="54">
        <f t="array" ref="AX11">IF(AX$2=1,Assumptions!$AF11/12,(SUMIF($D$2:$EE$2,AX$2-1,$D11:$EE11)/12)*(1+XLOOKUP(AX$2,Assumptions!$C$94:$M$94,Assumptions!$C$97:$M$97)))</f>
        <v>29813.08929</v>
      </c>
      <c r="AY11" s="54">
        <f t="array" ref="AY11">IF(AY$2=1,Assumptions!$AF11/12,(SUMIF($D$2:$EE$2,AY$2-1,$D11:$EE11)/12)*(1+XLOOKUP(AY$2,Assumptions!$C$94:$M$94,Assumptions!$C$97:$M$97)))</f>
        <v>29813.08929</v>
      </c>
      <c r="AZ11" s="54">
        <f t="array" ref="AZ11">IF(AZ$2=1,Assumptions!$AF11/12,(SUMIF($D$2:$EE$2,AZ$2-1,$D11:$EE11)/12)*(1+XLOOKUP(AZ$2,Assumptions!$C$94:$M$94,Assumptions!$C$97:$M$97)))</f>
        <v>30707.48196</v>
      </c>
      <c r="BA11" s="54">
        <f t="array" ref="BA11">IF(BA$2=1,Assumptions!$AF11/12,(SUMIF($D$2:$EE$2,BA$2-1,$D11:$EE11)/12)*(1+XLOOKUP(BA$2,Assumptions!$C$94:$M$94,Assumptions!$C$97:$M$97)))</f>
        <v>30707.48196</v>
      </c>
      <c r="BB11" s="54">
        <f t="array" ref="BB11">IF(BB$2=1,Assumptions!$AF11/12,(SUMIF($D$2:$EE$2,BB$2-1,$D11:$EE11)/12)*(1+XLOOKUP(BB$2,Assumptions!$C$94:$M$94,Assumptions!$C$97:$M$97)))</f>
        <v>30707.48196</v>
      </c>
      <c r="BC11" s="54">
        <f t="array" ref="BC11">IF(BC$2=1,Assumptions!$AF11/12,(SUMIF($D$2:$EE$2,BC$2-1,$D11:$EE11)/12)*(1+XLOOKUP(BC$2,Assumptions!$C$94:$M$94,Assumptions!$C$97:$M$97)))</f>
        <v>30707.48196</v>
      </c>
      <c r="BD11" s="54">
        <f t="array" ref="BD11">IF(BD$2=1,Assumptions!$AF11/12,(SUMIF($D$2:$EE$2,BD$2-1,$D11:$EE11)/12)*(1+XLOOKUP(BD$2,Assumptions!$C$94:$M$94,Assumptions!$C$97:$M$97)))</f>
        <v>30707.48196</v>
      </c>
      <c r="BE11" s="54">
        <f t="array" ref="BE11">IF(BE$2=1,Assumptions!$AF11/12,(SUMIF($D$2:$EE$2,BE$2-1,$D11:$EE11)/12)*(1+XLOOKUP(BE$2,Assumptions!$C$94:$M$94,Assumptions!$C$97:$M$97)))</f>
        <v>30707.48196</v>
      </c>
      <c r="BF11" s="54">
        <f t="array" ref="BF11">IF(BF$2=1,Assumptions!$AF11/12,(SUMIF($D$2:$EE$2,BF$2-1,$D11:$EE11)/12)*(1+XLOOKUP(BF$2,Assumptions!$C$94:$M$94,Assumptions!$C$97:$M$97)))</f>
        <v>30707.48196</v>
      </c>
      <c r="BG11" s="54">
        <f t="array" ref="BG11">IF(BG$2=1,Assumptions!$AF11/12,(SUMIF($D$2:$EE$2,BG$2-1,$D11:$EE11)/12)*(1+XLOOKUP(BG$2,Assumptions!$C$94:$M$94,Assumptions!$C$97:$M$97)))</f>
        <v>30707.48196</v>
      </c>
      <c r="BH11" s="54">
        <f t="array" ref="BH11">IF(BH$2=1,Assumptions!$AF11/12,(SUMIF($D$2:$EE$2,BH$2-1,$D11:$EE11)/12)*(1+XLOOKUP(BH$2,Assumptions!$C$94:$M$94,Assumptions!$C$97:$M$97)))</f>
        <v>30707.48196</v>
      </c>
      <c r="BI11" s="54">
        <f t="array" ref="BI11">IF(BI$2=1,Assumptions!$AF11/12,(SUMIF($D$2:$EE$2,BI$2-1,$D11:$EE11)/12)*(1+XLOOKUP(BI$2,Assumptions!$C$94:$M$94,Assumptions!$C$97:$M$97)))</f>
        <v>30707.48196</v>
      </c>
      <c r="BJ11" s="54">
        <f t="array" ref="BJ11">IF(BJ$2=1,Assumptions!$AF11/12,(SUMIF($D$2:$EE$2,BJ$2-1,$D11:$EE11)/12)*(1+XLOOKUP(BJ$2,Assumptions!$C$94:$M$94,Assumptions!$C$97:$M$97)))</f>
        <v>30707.48196</v>
      </c>
      <c r="BK11" s="54">
        <f t="array" ref="BK11">IF(BK$2=1,Assumptions!$AF11/12,(SUMIF($D$2:$EE$2,BK$2-1,$D11:$EE11)/12)*(1+XLOOKUP(BK$2,Assumptions!$C$94:$M$94,Assumptions!$C$97:$M$97)))</f>
        <v>30707.48196</v>
      </c>
      <c r="BL11" s="54">
        <f t="array" ref="BL11">IF(BL$2=1,Assumptions!$AF11/12,(SUMIF($D$2:$EE$2,BL$2-1,$D11:$EE11)/12)*(1+XLOOKUP(BL$2,Assumptions!$C$94:$M$94,Assumptions!$C$97:$M$97)))</f>
        <v>31628.70642</v>
      </c>
      <c r="BM11" s="54">
        <f t="array" ref="BM11">IF(BM$2=1,Assumptions!$AF11/12,(SUMIF($D$2:$EE$2,BM$2-1,$D11:$EE11)/12)*(1+XLOOKUP(BM$2,Assumptions!$C$94:$M$94,Assumptions!$C$97:$M$97)))</f>
        <v>31628.70642</v>
      </c>
      <c r="BN11" s="54">
        <f t="array" ref="BN11">IF(BN$2=1,Assumptions!$AF11/12,(SUMIF($D$2:$EE$2,BN$2-1,$D11:$EE11)/12)*(1+XLOOKUP(BN$2,Assumptions!$C$94:$M$94,Assumptions!$C$97:$M$97)))</f>
        <v>31628.70642</v>
      </c>
      <c r="BO11" s="54">
        <f t="array" ref="BO11">IF(BO$2=1,Assumptions!$AF11/12,(SUMIF($D$2:$EE$2,BO$2-1,$D11:$EE11)/12)*(1+XLOOKUP(BO$2,Assumptions!$C$94:$M$94,Assumptions!$C$97:$M$97)))</f>
        <v>31628.70642</v>
      </c>
      <c r="BP11" s="54">
        <f t="array" ref="BP11">IF(BP$2=1,Assumptions!$AF11/12,(SUMIF($D$2:$EE$2,BP$2-1,$D11:$EE11)/12)*(1+XLOOKUP(BP$2,Assumptions!$C$94:$M$94,Assumptions!$C$97:$M$97)))</f>
        <v>31628.70642</v>
      </c>
      <c r="BQ11" s="54">
        <f t="array" ref="BQ11">IF(BQ$2=1,Assumptions!$AF11/12,(SUMIF($D$2:$EE$2,BQ$2-1,$D11:$EE11)/12)*(1+XLOOKUP(BQ$2,Assumptions!$C$94:$M$94,Assumptions!$C$97:$M$97)))</f>
        <v>31628.70642</v>
      </c>
      <c r="BR11" s="54">
        <f t="array" ref="BR11">IF(BR$2=1,Assumptions!$AF11/12,(SUMIF($D$2:$EE$2,BR$2-1,$D11:$EE11)/12)*(1+XLOOKUP(BR$2,Assumptions!$C$94:$M$94,Assumptions!$C$97:$M$97)))</f>
        <v>31628.70642</v>
      </c>
      <c r="BS11" s="54">
        <f t="array" ref="BS11">IF(BS$2=1,Assumptions!$AF11/12,(SUMIF($D$2:$EE$2,BS$2-1,$D11:$EE11)/12)*(1+XLOOKUP(BS$2,Assumptions!$C$94:$M$94,Assumptions!$C$97:$M$97)))</f>
        <v>31628.70642</v>
      </c>
      <c r="BT11" s="54">
        <f t="array" ref="BT11">IF(BT$2=1,Assumptions!$AF11/12,(SUMIF($D$2:$EE$2,BT$2-1,$D11:$EE11)/12)*(1+XLOOKUP(BT$2,Assumptions!$C$94:$M$94,Assumptions!$C$97:$M$97)))</f>
        <v>31628.70642</v>
      </c>
      <c r="BU11" s="54">
        <f t="array" ref="BU11">IF(BU$2=1,Assumptions!$AF11/12,(SUMIF($D$2:$EE$2,BU$2-1,$D11:$EE11)/12)*(1+XLOOKUP(BU$2,Assumptions!$C$94:$M$94,Assumptions!$C$97:$M$97)))</f>
        <v>31628.70642</v>
      </c>
      <c r="BV11" s="54">
        <f t="array" ref="BV11">IF(BV$2=1,Assumptions!$AF11/12,(SUMIF($D$2:$EE$2,BV$2-1,$D11:$EE11)/12)*(1+XLOOKUP(BV$2,Assumptions!$C$94:$M$94,Assumptions!$C$97:$M$97)))</f>
        <v>31628.70642</v>
      </c>
      <c r="BW11" s="54">
        <f t="array" ref="BW11">IF(BW$2=1,Assumptions!$AF11/12,(SUMIF($D$2:$EE$2,BW$2-1,$D11:$EE11)/12)*(1+XLOOKUP(BW$2,Assumptions!$C$94:$M$94,Assumptions!$C$97:$M$97)))</f>
        <v>31628.70642</v>
      </c>
      <c r="BX11" s="54">
        <f t="array" ref="BX11">IF(BX$2=1,Assumptions!$AF11/12,(SUMIF($D$2:$EE$2,BX$2-1,$D11:$EE11)/12)*(1+XLOOKUP(BX$2,Assumptions!$C$94:$M$94,Assumptions!$C$97:$M$97)))</f>
        <v>32577.56762</v>
      </c>
      <c r="BY11" s="54">
        <f t="array" ref="BY11">IF(BY$2=1,Assumptions!$AF11/12,(SUMIF($D$2:$EE$2,BY$2-1,$D11:$EE11)/12)*(1+XLOOKUP(BY$2,Assumptions!$C$94:$M$94,Assumptions!$C$97:$M$97)))</f>
        <v>32577.56762</v>
      </c>
      <c r="BZ11" s="54">
        <f t="array" ref="BZ11">IF(BZ$2=1,Assumptions!$AF11/12,(SUMIF($D$2:$EE$2,BZ$2-1,$D11:$EE11)/12)*(1+XLOOKUP(BZ$2,Assumptions!$C$94:$M$94,Assumptions!$C$97:$M$97)))</f>
        <v>32577.56762</v>
      </c>
      <c r="CA11" s="54">
        <f t="array" ref="CA11">IF(CA$2=1,Assumptions!$AF11/12,(SUMIF($D$2:$EE$2,CA$2-1,$D11:$EE11)/12)*(1+XLOOKUP(CA$2,Assumptions!$C$94:$M$94,Assumptions!$C$97:$M$97)))</f>
        <v>32577.56762</v>
      </c>
      <c r="CB11" s="54">
        <f t="array" ref="CB11">IF(CB$2=1,Assumptions!$AF11/12,(SUMIF($D$2:$EE$2,CB$2-1,$D11:$EE11)/12)*(1+XLOOKUP(CB$2,Assumptions!$C$94:$M$94,Assumptions!$C$97:$M$97)))</f>
        <v>32577.56762</v>
      </c>
      <c r="CC11" s="54">
        <f t="array" ref="CC11">IF(CC$2=1,Assumptions!$AF11/12,(SUMIF($D$2:$EE$2,CC$2-1,$D11:$EE11)/12)*(1+XLOOKUP(CC$2,Assumptions!$C$94:$M$94,Assumptions!$C$97:$M$97)))</f>
        <v>32577.56762</v>
      </c>
      <c r="CD11" s="54">
        <f t="array" ref="CD11">IF(CD$2=1,Assumptions!$AF11/12,(SUMIF($D$2:$EE$2,CD$2-1,$D11:$EE11)/12)*(1+XLOOKUP(CD$2,Assumptions!$C$94:$M$94,Assumptions!$C$97:$M$97)))</f>
        <v>32577.56762</v>
      </c>
      <c r="CE11" s="54">
        <f t="array" ref="CE11">IF(CE$2=1,Assumptions!$AF11/12,(SUMIF($D$2:$EE$2,CE$2-1,$D11:$EE11)/12)*(1+XLOOKUP(CE$2,Assumptions!$C$94:$M$94,Assumptions!$C$97:$M$97)))</f>
        <v>32577.56762</v>
      </c>
      <c r="CF11" s="54">
        <f t="array" ref="CF11">IF(CF$2=1,Assumptions!$AF11/12,(SUMIF($D$2:$EE$2,CF$2-1,$D11:$EE11)/12)*(1+XLOOKUP(CF$2,Assumptions!$C$94:$M$94,Assumptions!$C$97:$M$97)))</f>
        <v>32577.56762</v>
      </c>
      <c r="CG11" s="54">
        <f t="array" ref="CG11">IF(CG$2=1,Assumptions!$AF11/12,(SUMIF($D$2:$EE$2,CG$2-1,$D11:$EE11)/12)*(1+XLOOKUP(CG$2,Assumptions!$C$94:$M$94,Assumptions!$C$97:$M$97)))</f>
        <v>32577.56762</v>
      </c>
      <c r="CH11" s="54">
        <f t="array" ref="CH11">IF(CH$2=1,Assumptions!$AF11/12,(SUMIF($D$2:$EE$2,CH$2-1,$D11:$EE11)/12)*(1+XLOOKUP(CH$2,Assumptions!$C$94:$M$94,Assumptions!$C$97:$M$97)))</f>
        <v>32577.56762</v>
      </c>
      <c r="CI11" s="54">
        <f t="array" ref="CI11">IF(CI$2=1,Assumptions!$AF11/12,(SUMIF($D$2:$EE$2,CI$2-1,$D11:$EE11)/12)*(1+XLOOKUP(CI$2,Assumptions!$C$94:$M$94,Assumptions!$C$97:$M$97)))</f>
        <v>32577.56762</v>
      </c>
      <c r="CJ11" s="54">
        <f t="array" ref="CJ11">IF(CJ$2=1,Assumptions!$AF11/12,(SUMIF($D$2:$EE$2,CJ$2-1,$D11:$EE11)/12)*(1+XLOOKUP(CJ$2,Assumptions!$C$94:$M$94,Assumptions!$C$97:$M$97)))</f>
        <v>33554.89465</v>
      </c>
      <c r="CK11" s="54">
        <f t="array" ref="CK11">IF(CK$2=1,Assumptions!$AF11/12,(SUMIF($D$2:$EE$2,CK$2-1,$D11:$EE11)/12)*(1+XLOOKUP(CK$2,Assumptions!$C$94:$M$94,Assumptions!$C$97:$M$97)))</f>
        <v>33554.89465</v>
      </c>
      <c r="CL11" s="54">
        <f t="array" ref="CL11">IF(CL$2=1,Assumptions!$AF11/12,(SUMIF($D$2:$EE$2,CL$2-1,$D11:$EE11)/12)*(1+XLOOKUP(CL$2,Assumptions!$C$94:$M$94,Assumptions!$C$97:$M$97)))</f>
        <v>33554.89465</v>
      </c>
      <c r="CM11" s="54">
        <f t="array" ref="CM11">IF(CM$2=1,Assumptions!$AF11/12,(SUMIF($D$2:$EE$2,CM$2-1,$D11:$EE11)/12)*(1+XLOOKUP(CM$2,Assumptions!$C$94:$M$94,Assumptions!$C$97:$M$97)))</f>
        <v>33554.89465</v>
      </c>
      <c r="CN11" s="54">
        <f t="array" ref="CN11">IF(CN$2=1,Assumptions!$AF11/12,(SUMIF($D$2:$EE$2,CN$2-1,$D11:$EE11)/12)*(1+XLOOKUP(CN$2,Assumptions!$C$94:$M$94,Assumptions!$C$97:$M$97)))</f>
        <v>33554.89465</v>
      </c>
      <c r="CO11" s="54">
        <f t="array" ref="CO11">IF(CO$2=1,Assumptions!$AF11/12,(SUMIF($D$2:$EE$2,CO$2-1,$D11:$EE11)/12)*(1+XLOOKUP(CO$2,Assumptions!$C$94:$M$94,Assumptions!$C$97:$M$97)))</f>
        <v>33554.89465</v>
      </c>
      <c r="CP11" s="54">
        <f t="array" ref="CP11">IF(CP$2=1,Assumptions!$AF11/12,(SUMIF($D$2:$EE$2,CP$2-1,$D11:$EE11)/12)*(1+XLOOKUP(CP$2,Assumptions!$C$94:$M$94,Assumptions!$C$97:$M$97)))</f>
        <v>33554.89465</v>
      </c>
      <c r="CQ11" s="54">
        <f t="array" ref="CQ11">IF(CQ$2=1,Assumptions!$AF11/12,(SUMIF($D$2:$EE$2,CQ$2-1,$D11:$EE11)/12)*(1+XLOOKUP(CQ$2,Assumptions!$C$94:$M$94,Assumptions!$C$97:$M$97)))</f>
        <v>33554.89465</v>
      </c>
      <c r="CR11" s="54">
        <f t="array" ref="CR11">IF(CR$2=1,Assumptions!$AF11/12,(SUMIF($D$2:$EE$2,CR$2-1,$D11:$EE11)/12)*(1+XLOOKUP(CR$2,Assumptions!$C$94:$M$94,Assumptions!$C$97:$M$97)))</f>
        <v>33554.89465</v>
      </c>
      <c r="CS11" s="54">
        <f t="array" ref="CS11">IF(CS$2=1,Assumptions!$AF11/12,(SUMIF($D$2:$EE$2,CS$2-1,$D11:$EE11)/12)*(1+XLOOKUP(CS$2,Assumptions!$C$94:$M$94,Assumptions!$C$97:$M$97)))</f>
        <v>33554.89465</v>
      </c>
      <c r="CT11" s="54">
        <f t="array" ref="CT11">IF(CT$2=1,Assumptions!$AF11/12,(SUMIF($D$2:$EE$2,CT$2-1,$D11:$EE11)/12)*(1+XLOOKUP(CT$2,Assumptions!$C$94:$M$94,Assumptions!$C$97:$M$97)))</f>
        <v>33554.89465</v>
      </c>
      <c r="CU11" s="54">
        <f t="array" ref="CU11">IF(CU$2=1,Assumptions!$AF11/12,(SUMIF($D$2:$EE$2,CU$2-1,$D11:$EE11)/12)*(1+XLOOKUP(CU$2,Assumptions!$C$94:$M$94,Assumptions!$C$97:$M$97)))</f>
        <v>33554.89465</v>
      </c>
      <c r="CV11" s="54">
        <f t="array" ref="CV11">IF(CV$2=1,Assumptions!$AF11/12,(SUMIF($D$2:$EE$2,CV$2-1,$D11:$EE11)/12)*(1+XLOOKUP(CV$2,Assumptions!$C$94:$M$94,Assumptions!$C$97:$M$97)))</f>
        <v>34561.54148</v>
      </c>
      <c r="CW11" s="54">
        <f t="array" ref="CW11">IF(CW$2=1,Assumptions!$AF11/12,(SUMIF($D$2:$EE$2,CW$2-1,$D11:$EE11)/12)*(1+XLOOKUP(CW$2,Assumptions!$C$94:$M$94,Assumptions!$C$97:$M$97)))</f>
        <v>34561.54148</v>
      </c>
      <c r="CX11" s="54">
        <f t="array" ref="CX11">IF(CX$2=1,Assumptions!$AF11/12,(SUMIF($D$2:$EE$2,CX$2-1,$D11:$EE11)/12)*(1+XLOOKUP(CX$2,Assumptions!$C$94:$M$94,Assumptions!$C$97:$M$97)))</f>
        <v>34561.54148</v>
      </c>
      <c r="CY11" s="54">
        <f t="array" ref="CY11">IF(CY$2=1,Assumptions!$AF11/12,(SUMIF($D$2:$EE$2,CY$2-1,$D11:$EE11)/12)*(1+XLOOKUP(CY$2,Assumptions!$C$94:$M$94,Assumptions!$C$97:$M$97)))</f>
        <v>34561.54148</v>
      </c>
      <c r="CZ11" s="54">
        <f t="array" ref="CZ11">IF(CZ$2=1,Assumptions!$AF11/12,(SUMIF($D$2:$EE$2,CZ$2-1,$D11:$EE11)/12)*(1+XLOOKUP(CZ$2,Assumptions!$C$94:$M$94,Assumptions!$C$97:$M$97)))</f>
        <v>34561.54148</v>
      </c>
      <c r="DA11" s="54">
        <f t="array" ref="DA11">IF(DA$2=1,Assumptions!$AF11/12,(SUMIF($D$2:$EE$2,DA$2-1,$D11:$EE11)/12)*(1+XLOOKUP(DA$2,Assumptions!$C$94:$M$94,Assumptions!$C$97:$M$97)))</f>
        <v>34561.54148</v>
      </c>
      <c r="DB11" s="54">
        <f t="array" ref="DB11">IF(DB$2=1,Assumptions!$AF11/12,(SUMIF($D$2:$EE$2,DB$2-1,$D11:$EE11)/12)*(1+XLOOKUP(DB$2,Assumptions!$C$94:$M$94,Assumptions!$C$97:$M$97)))</f>
        <v>34561.54148</v>
      </c>
      <c r="DC11" s="54">
        <f t="array" ref="DC11">IF(DC$2=1,Assumptions!$AF11/12,(SUMIF($D$2:$EE$2,DC$2-1,$D11:$EE11)/12)*(1+XLOOKUP(DC$2,Assumptions!$C$94:$M$94,Assumptions!$C$97:$M$97)))</f>
        <v>34561.54148</v>
      </c>
      <c r="DD11" s="54">
        <f t="array" ref="DD11">IF(DD$2=1,Assumptions!$AF11/12,(SUMIF($D$2:$EE$2,DD$2-1,$D11:$EE11)/12)*(1+XLOOKUP(DD$2,Assumptions!$C$94:$M$94,Assumptions!$C$97:$M$97)))</f>
        <v>34561.54148</v>
      </c>
      <c r="DE11" s="54">
        <f t="array" ref="DE11">IF(DE$2=1,Assumptions!$AF11/12,(SUMIF($D$2:$EE$2,DE$2-1,$D11:$EE11)/12)*(1+XLOOKUP(DE$2,Assumptions!$C$94:$M$94,Assumptions!$C$97:$M$97)))</f>
        <v>34561.54148</v>
      </c>
      <c r="DF11" s="54">
        <f t="array" ref="DF11">IF(DF$2=1,Assumptions!$AF11/12,(SUMIF($D$2:$EE$2,DF$2-1,$D11:$EE11)/12)*(1+XLOOKUP(DF$2,Assumptions!$C$94:$M$94,Assumptions!$C$97:$M$97)))</f>
        <v>34561.54148</v>
      </c>
      <c r="DG11" s="54">
        <f t="array" ref="DG11">IF(DG$2=1,Assumptions!$AF11/12,(SUMIF($D$2:$EE$2,DG$2-1,$D11:$EE11)/12)*(1+XLOOKUP(DG$2,Assumptions!$C$94:$M$94,Assumptions!$C$97:$M$97)))</f>
        <v>34561.54148</v>
      </c>
      <c r="DH11" s="54">
        <f t="array" ref="DH11">IF(DH$2=1,Assumptions!$AF11/12,(SUMIF($D$2:$EE$2,DH$2-1,$D11:$EE11)/12)*(1+XLOOKUP(DH$2,Assumptions!$C$94:$M$94,Assumptions!$C$97:$M$97)))</f>
        <v>35598.38773</v>
      </c>
      <c r="DI11" s="54">
        <f t="array" ref="DI11">IF(DI$2=1,Assumptions!$AF11/12,(SUMIF($D$2:$EE$2,DI$2-1,$D11:$EE11)/12)*(1+XLOOKUP(DI$2,Assumptions!$C$94:$M$94,Assumptions!$C$97:$M$97)))</f>
        <v>35598.38773</v>
      </c>
      <c r="DJ11" s="54">
        <f t="array" ref="DJ11">IF(DJ$2=1,Assumptions!$AF11/12,(SUMIF($D$2:$EE$2,DJ$2-1,$D11:$EE11)/12)*(1+XLOOKUP(DJ$2,Assumptions!$C$94:$M$94,Assumptions!$C$97:$M$97)))</f>
        <v>35598.38773</v>
      </c>
      <c r="DK11" s="54">
        <f t="array" ref="DK11">IF(DK$2=1,Assumptions!$AF11/12,(SUMIF($D$2:$EE$2,DK$2-1,$D11:$EE11)/12)*(1+XLOOKUP(DK$2,Assumptions!$C$94:$M$94,Assumptions!$C$97:$M$97)))</f>
        <v>35598.38773</v>
      </c>
      <c r="DL11" s="54">
        <f t="array" ref="DL11">IF(DL$2=1,Assumptions!$AF11/12,(SUMIF($D$2:$EE$2,DL$2-1,$D11:$EE11)/12)*(1+XLOOKUP(DL$2,Assumptions!$C$94:$M$94,Assumptions!$C$97:$M$97)))</f>
        <v>35598.38773</v>
      </c>
      <c r="DM11" s="54">
        <f t="array" ref="DM11">IF(DM$2=1,Assumptions!$AF11/12,(SUMIF($D$2:$EE$2,DM$2-1,$D11:$EE11)/12)*(1+XLOOKUP(DM$2,Assumptions!$C$94:$M$94,Assumptions!$C$97:$M$97)))</f>
        <v>35598.38773</v>
      </c>
      <c r="DN11" s="54">
        <f t="array" ref="DN11">IF(DN$2=1,Assumptions!$AF11/12,(SUMIF($D$2:$EE$2,DN$2-1,$D11:$EE11)/12)*(1+XLOOKUP(DN$2,Assumptions!$C$94:$M$94,Assumptions!$C$97:$M$97)))</f>
        <v>35598.38773</v>
      </c>
      <c r="DO11" s="54">
        <f t="array" ref="DO11">IF(DO$2=1,Assumptions!$AF11/12,(SUMIF($D$2:$EE$2,DO$2-1,$D11:$EE11)/12)*(1+XLOOKUP(DO$2,Assumptions!$C$94:$M$94,Assumptions!$C$97:$M$97)))</f>
        <v>35598.38773</v>
      </c>
      <c r="DP11" s="54">
        <f t="array" ref="DP11">IF(DP$2=1,Assumptions!$AF11/12,(SUMIF($D$2:$EE$2,DP$2-1,$D11:$EE11)/12)*(1+XLOOKUP(DP$2,Assumptions!$C$94:$M$94,Assumptions!$C$97:$M$97)))</f>
        <v>35598.38773</v>
      </c>
      <c r="DQ11" s="54">
        <f t="array" ref="DQ11">IF(DQ$2=1,Assumptions!$AF11/12,(SUMIF($D$2:$EE$2,DQ$2-1,$D11:$EE11)/12)*(1+XLOOKUP(DQ$2,Assumptions!$C$94:$M$94,Assumptions!$C$97:$M$97)))</f>
        <v>35598.38773</v>
      </c>
      <c r="DR11" s="54">
        <f t="array" ref="DR11">IF(DR$2=1,Assumptions!$AF11/12,(SUMIF($D$2:$EE$2,DR$2-1,$D11:$EE11)/12)*(1+XLOOKUP(DR$2,Assumptions!$C$94:$M$94,Assumptions!$C$97:$M$97)))</f>
        <v>35598.38773</v>
      </c>
      <c r="DS11" s="54">
        <f t="array" ref="DS11">IF(DS$2=1,Assumptions!$AF11/12,(SUMIF($D$2:$EE$2,DS$2-1,$D11:$EE11)/12)*(1+XLOOKUP(DS$2,Assumptions!$C$94:$M$94,Assumptions!$C$97:$M$97)))</f>
        <v>35598.38773</v>
      </c>
      <c r="DT11" s="54">
        <f t="array" ref="DT11">IF(DT$2=1,Assumptions!$AF11/12,(SUMIF($D$2:$EE$2,DT$2-1,$D11:$EE11)/12)*(1+XLOOKUP(DT$2,Assumptions!$C$94:$M$94,Assumptions!$C$97:$M$97)))</f>
        <v>36666.33936</v>
      </c>
      <c r="DU11" s="54">
        <f t="array" ref="DU11">IF(DU$2=1,Assumptions!$AF11/12,(SUMIF($D$2:$EE$2,DU$2-1,$D11:$EE11)/12)*(1+XLOOKUP(DU$2,Assumptions!$C$94:$M$94,Assumptions!$C$97:$M$97)))</f>
        <v>36666.33936</v>
      </c>
      <c r="DV11" s="54">
        <f t="array" ref="DV11">IF(DV$2=1,Assumptions!$AF11/12,(SUMIF($D$2:$EE$2,DV$2-1,$D11:$EE11)/12)*(1+XLOOKUP(DV$2,Assumptions!$C$94:$M$94,Assumptions!$C$97:$M$97)))</f>
        <v>36666.33936</v>
      </c>
      <c r="DW11" s="54">
        <f t="array" ref="DW11">IF(DW$2=1,Assumptions!$AF11/12,(SUMIF($D$2:$EE$2,DW$2-1,$D11:$EE11)/12)*(1+XLOOKUP(DW$2,Assumptions!$C$94:$M$94,Assumptions!$C$97:$M$97)))</f>
        <v>36666.33936</v>
      </c>
      <c r="DX11" s="54">
        <f t="array" ref="DX11">IF(DX$2=1,Assumptions!$AF11/12,(SUMIF($D$2:$EE$2,DX$2-1,$D11:$EE11)/12)*(1+XLOOKUP(DX$2,Assumptions!$C$94:$M$94,Assumptions!$C$97:$M$97)))</f>
        <v>36666.33936</v>
      </c>
      <c r="DY11" s="54">
        <f t="array" ref="DY11">IF(DY$2=1,Assumptions!$AF11/12,(SUMIF($D$2:$EE$2,DY$2-1,$D11:$EE11)/12)*(1+XLOOKUP(DY$2,Assumptions!$C$94:$M$94,Assumptions!$C$97:$M$97)))</f>
        <v>36666.33936</v>
      </c>
      <c r="DZ11" s="54">
        <f t="array" ref="DZ11">IF(DZ$2=1,Assumptions!$AF11/12,(SUMIF($D$2:$EE$2,DZ$2-1,$D11:$EE11)/12)*(1+XLOOKUP(DZ$2,Assumptions!$C$94:$M$94,Assumptions!$C$97:$M$97)))</f>
        <v>36666.33936</v>
      </c>
      <c r="EA11" s="54">
        <f t="array" ref="EA11">IF(EA$2=1,Assumptions!$AF11/12,(SUMIF($D$2:$EE$2,EA$2-1,$D11:$EE11)/12)*(1+XLOOKUP(EA$2,Assumptions!$C$94:$M$94,Assumptions!$C$97:$M$97)))</f>
        <v>36666.33936</v>
      </c>
      <c r="EB11" s="54">
        <f t="array" ref="EB11">IF(EB$2=1,Assumptions!$AF11/12,(SUMIF($D$2:$EE$2,EB$2-1,$D11:$EE11)/12)*(1+XLOOKUP(EB$2,Assumptions!$C$94:$M$94,Assumptions!$C$97:$M$97)))</f>
        <v>36666.33936</v>
      </c>
      <c r="EC11" s="54">
        <f t="array" ref="EC11">IF(EC$2=1,Assumptions!$AF11/12,(SUMIF($D$2:$EE$2,EC$2-1,$D11:$EE11)/12)*(1+XLOOKUP(EC$2,Assumptions!$C$94:$M$94,Assumptions!$C$97:$M$97)))</f>
        <v>36666.33936</v>
      </c>
      <c r="ED11" s="54">
        <f t="array" ref="ED11">IF(ED$2=1,Assumptions!$AF11/12,(SUMIF($D$2:$EE$2,ED$2-1,$D11:$EE11)/12)*(1+XLOOKUP(ED$2,Assumptions!$C$94:$M$94,Assumptions!$C$97:$M$97)))</f>
        <v>36666.33936</v>
      </c>
      <c r="EE11" s="54">
        <f t="array" ref="EE11">IF(EE$2=1,Assumptions!$AF11/12,(SUMIF($D$2:$EE$2,EE$2-1,$D11:$EE11)/12)*(1+XLOOKUP(EE$2,Assumptions!$C$94:$M$94,Assumptions!$C$97:$M$97)))</f>
        <v>36666.33936</v>
      </c>
    </row>
    <row r="12" ht="15.75" customHeight="1">
      <c r="A12" s="1"/>
      <c r="B12" s="26"/>
      <c r="C12" s="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</row>
    <row r="13" ht="15.75" customHeight="1">
      <c r="A13" s="1"/>
      <c r="B13" s="110"/>
      <c r="C13" s="47" t="s">
        <v>194</v>
      </c>
      <c r="D13" s="213">
        <f t="shared" ref="D13:EE13" si="3">SUM(D5:D12)</f>
        <v>186274.2</v>
      </c>
      <c r="E13" s="213">
        <f t="shared" si="3"/>
        <v>186274.2</v>
      </c>
      <c r="F13" s="213">
        <f t="shared" si="3"/>
        <v>186274.2</v>
      </c>
      <c r="G13" s="213">
        <f t="shared" si="3"/>
        <v>186274.2</v>
      </c>
      <c r="H13" s="213">
        <f t="shared" si="3"/>
        <v>186274.2</v>
      </c>
      <c r="I13" s="213">
        <f t="shared" si="3"/>
        <v>186274.2</v>
      </c>
      <c r="J13" s="213">
        <f t="shared" si="3"/>
        <v>186274.2</v>
      </c>
      <c r="K13" s="213">
        <f t="shared" si="3"/>
        <v>186274.2</v>
      </c>
      <c r="L13" s="213">
        <f t="shared" si="3"/>
        <v>186274.2</v>
      </c>
      <c r="M13" s="213">
        <f t="shared" si="3"/>
        <v>186274.2</v>
      </c>
      <c r="N13" s="213">
        <f t="shared" si="3"/>
        <v>186274.2</v>
      </c>
      <c r="O13" s="213">
        <f t="shared" si="3"/>
        <v>186274.2</v>
      </c>
      <c r="P13" s="213">
        <f t="shared" si="3"/>
        <v>191862.426</v>
      </c>
      <c r="Q13" s="213">
        <f t="shared" si="3"/>
        <v>191862.426</v>
      </c>
      <c r="R13" s="213">
        <f t="shared" si="3"/>
        <v>191862.426</v>
      </c>
      <c r="S13" s="213">
        <f t="shared" si="3"/>
        <v>191862.426</v>
      </c>
      <c r="T13" s="213">
        <f t="shared" si="3"/>
        <v>191862.426</v>
      </c>
      <c r="U13" s="213">
        <f t="shared" si="3"/>
        <v>191862.426</v>
      </c>
      <c r="V13" s="213">
        <f t="shared" si="3"/>
        <v>191862.426</v>
      </c>
      <c r="W13" s="213">
        <f t="shared" si="3"/>
        <v>191862.426</v>
      </c>
      <c r="X13" s="213">
        <f t="shared" si="3"/>
        <v>191862.426</v>
      </c>
      <c r="Y13" s="213">
        <f t="shared" si="3"/>
        <v>191862.426</v>
      </c>
      <c r="Z13" s="213">
        <f t="shared" si="3"/>
        <v>191862.426</v>
      </c>
      <c r="AA13" s="213">
        <f t="shared" si="3"/>
        <v>191862.426</v>
      </c>
      <c r="AB13" s="213">
        <f t="shared" si="3"/>
        <v>197618.2988</v>
      </c>
      <c r="AC13" s="213">
        <f t="shared" si="3"/>
        <v>197618.2988</v>
      </c>
      <c r="AD13" s="213">
        <f t="shared" si="3"/>
        <v>197618.2988</v>
      </c>
      <c r="AE13" s="213">
        <f t="shared" si="3"/>
        <v>197618.2988</v>
      </c>
      <c r="AF13" s="213">
        <f t="shared" si="3"/>
        <v>197618.2988</v>
      </c>
      <c r="AG13" s="213">
        <f t="shared" si="3"/>
        <v>197618.2988</v>
      </c>
      <c r="AH13" s="213">
        <f t="shared" si="3"/>
        <v>197618.2988</v>
      </c>
      <c r="AI13" s="213">
        <f t="shared" si="3"/>
        <v>197618.2988</v>
      </c>
      <c r="AJ13" s="213">
        <f t="shared" si="3"/>
        <v>197618.2988</v>
      </c>
      <c r="AK13" s="213">
        <f t="shared" si="3"/>
        <v>197618.2988</v>
      </c>
      <c r="AL13" s="213">
        <f t="shared" si="3"/>
        <v>197618.2988</v>
      </c>
      <c r="AM13" s="213">
        <f t="shared" si="3"/>
        <v>197618.2988</v>
      </c>
      <c r="AN13" s="213">
        <f t="shared" si="3"/>
        <v>203546.8477</v>
      </c>
      <c r="AO13" s="213">
        <f t="shared" si="3"/>
        <v>203546.8477</v>
      </c>
      <c r="AP13" s="213">
        <f t="shared" si="3"/>
        <v>203546.8477</v>
      </c>
      <c r="AQ13" s="213">
        <f t="shared" si="3"/>
        <v>203546.8477</v>
      </c>
      <c r="AR13" s="213">
        <f t="shared" si="3"/>
        <v>203546.8477</v>
      </c>
      <c r="AS13" s="213">
        <f t="shared" si="3"/>
        <v>203546.8477</v>
      </c>
      <c r="AT13" s="213">
        <f t="shared" si="3"/>
        <v>203546.8477</v>
      </c>
      <c r="AU13" s="213">
        <f t="shared" si="3"/>
        <v>203546.8477</v>
      </c>
      <c r="AV13" s="213">
        <f t="shared" si="3"/>
        <v>203546.8477</v>
      </c>
      <c r="AW13" s="213">
        <f t="shared" si="3"/>
        <v>203546.8477</v>
      </c>
      <c r="AX13" s="213">
        <f t="shared" si="3"/>
        <v>203546.8477</v>
      </c>
      <c r="AY13" s="213">
        <f t="shared" si="3"/>
        <v>203546.8477</v>
      </c>
      <c r="AZ13" s="213">
        <f t="shared" si="3"/>
        <v>209653.2532</v>
      </c>
      <c r="BA13" s="213">
        <f t="shared" si="3"/>
        <v>209653.2532</v>
      </c>
      <c r="BB13" s="213">
        <f t="shared" si="3"/>
        <v>209653.2532</v>
      </c>
      <c r="BC13" s="213">
        <f t="shared" si="3"/>
        <v>209653.2532</v>
      </c>
      <c r="BD13" s="213">
        <f t="shared" si="3"/>
        <v>209653.2532</v>
      </c>
      <c r="BE13" s="213">
        <f t="shared" si="3"/>
        <v>209653.2532</v>
      </c>
      <c r="BF13" s="213">
        <f t="shared" si="3"/>
        <v>209653.2532</v>
      </c>
      <c r="BG13" s="213">
        <f t="shared" si="3"/>
        <v>209653.2532</v>
      </c>
      <c r="BH13" s="213">
        <f t="shared" si="3"/>
        <v>209653.2532</v>
      </c>
      <c r="BI13" s="213">
        <f t="shared" si="3"/>
        <v>209653.2532</v>
      </c>
      <c r="BJ13" s="213">
        <f t="shared" si="3"/>
        <v>209653.2532</v>
      </c>
      <c r="BK13" s="213">
        <f t="shared" si="3"/>
        <v>209653.2532</v>
      </c>
      <c r="BL13" s="213">
        <f t="shared" si="3"/>
        <v>215942.8508</v>
      </c>
      <c r="BM13" s="213">
        <f t="shared" si="3"/>
        <v>215942.8508</v>
      </c>
      <c r="BN13" s="213">
        <f t="shared" si="3"/>
        <v>215942.8508</v>
      </c>
      <c r="BO13" s="213">
        <f t="shared" si="3"/>
        <v>215942.8508</v>
      </c>
      <c r="BP13" s="213">
        <f t="shared" si="3"/>
        <v>215942.8508</v>
      </c>
      <c r="BQ13" s="213">
        <f t="shared" si="3"/>
        <v>215942.8508</v>
      </c>
      <c r="BR13" s="213">
        <f t="shared" si="3"/>
        <v>215942.8508</v>
      </c>
      <c r="BS13" s="213">
        <f t="shared" si="3"/>
        <v>215942.8508</v>
      </c>
      <c r="BT13" s="213">
        <f t="shared" si="3"/>
        <v>215942.8508</v>
      </c>
      <c r="BU13" s="213">
        <f t="shared" si="3"/>
        <v>215942.8508</v>
      </c>
      <c r="BV13" s="213">
        <f t="shared" si="3"/>
        <v>215942.8508</v>
      </c>
      <c r="BW13" s="213">
        <f t="shared" si="3"/>
        <v>215942.8508</v>
      </c>
      <c r="BX13" s="213">
        <f t="shared" si="3"/>
        <v>222421.1363</v>
      </c>
      <c r="BY13" s="213">
        <f t="shared" si="3"/>
        <v>222421.1363</v>
      </c>
      <c r="BZ13" s="213">
        <f t="shared" si="3"/>
        <v>222421.1363</v>
      </c>
      <c r="CA13" s="213">
        <f t="shared" si="3"/>
        <v>222421.1363</v>
      </c>
      <c r="CB13" s="213">
        <f t="shared" si="3"/>
        <v>222421.1363</v>
      </c>
      <c r="CC13" s="213">
        <f t="shared" si="3"/>
        <v>222421.1363</v>
      </c>
      <c r="CD13" s="213">
        <f t="shared" si="3"/>
        <v>222421.1363</v>
      </c>
      <c r="CE13" s="213">
        <f t="shared" si="3"/>
        <v>222421.1363</v>
      </c>
      <c r="CF13" s="213">
        <f t="shared" si="3"/>
        <v>222421.1363</v>
      </c>
      <c r="CG13" s="213">
        <f t="shared" si="3"/>
        <v>222421.1363</v>
      </c>
      <c r="CH13" s="213">
        <f t="shared" si="3"/>
        <v>222421.1363</v>
      </c>
      <c r="CI13" s="213">
        <f t="shared" si="3"/>
        <v>222421.1363</v>
      </c>
      <c r="CJ13" s="213">
        <f t="shared" si="3"/>
        <v>229093.7704</v>
      </c>
      <c r="CK13" s="213">
        <f t="shared" si="3"/>
        <v>229093.7704</v>
      </c>
      <c r="CL13" s="213">
        <f t="shared" si="3"/>
        <v>229093.7704</v>
      </c>
      <c r="CM13" s="213">
        <f t="shared" si="3"/>
        <v>229093.7704</v>
      </c>
      <c r="CN13" s="213">
        <f t="shared" si="3"/>
        <v>229093.7704</v>
      </c>
      <c r="CO13" s="213">
        <f t="shared" si="3"/>
        <v>229093.7704</v>
      </c>
      <c r="CP13" s="213">
        <f t="shared" si="3"/>
        <v>229093.7704</v>
      </c>
      <c r="CQ13" s="213">
        <f t="shared" si="3"/>
        <v>229093.7704</v>
      </c>
      <c r="CR13" s="213">
        <f t="shared" si="3"/>
        <v>229093.7704</v>
      </c>
      <c r="CS13" s="213">
        <f t="shared" si="3"/>
        <v>229093.7704</v>
      </c>
      <c r="CT13" s="213">
        <f t="shared" si="3"/>
        <v>229093.7704</v>
      </c>
      <c r="CU13" s="213">
        <f t="shared" si="3"/>
        <v>229093.7704</v>
      </c>
      <c r="CV13" s="213">
        <f t="shared" si="3"/>
        <v>235966.5835</v>
      </c>
      <c r="CW13" s="213">
        <f t="shared" si="3"/>
        <v>235966.5835</v>
      </c>
      <c r="CX13" s="213">
        <f t="shared" si="3"/>
        <v>235966.5835</v>
      </c>
      <c r="CY13" s="213">
        <f t="shared" si="3"/>
        <v>235966.5835</v>
      </c>
      <c r="CZ13" s="213">
        <f t="shared" si="3"/>
        <v>235966.5835</v>
      </c>
      <c r="DA13" s="213">
        <f t="shared" si="3"/>
        <v>235966.5835</v>
      </c>
      <c r="DB13" s="213">
        <f t="shared" si="3"/>
        <v>235966.5835</v>
      </c>
      <c r="DC13" s="213">
        <f t="shared" si="3"/>
        <v>235966.5835</v>
      </c>
      <c r="DD13" s="213">
        <f t="shared" si="3"/>
        <v>235966.5835</v>
      </c>
      <c r="DE13" s="213">
        <f t="shared" si="3"/>
        <v>235966.5835</v>
      </c>
      <c r="DF13" s="213">
        <f t="shared" si="3"/>
        <v>235966.5835</v>
      </c>
      <c r="DG13" s="213">
        <f t="shared" si="3"/>
        <v>235966.5835</v>
      </c>
      <c r="DH13" s="213">
        <f t="shared" si="3"/>
        <v>243045.581</v>
      </c>
      <c r="DI13" s="213">
        <f t="shared" si="3"/>
        <v>243045.581</v>
      </c>
      <c r="DJ13" s="213">
        <f t="shared" si="3"/>
        <v>243045.581</v>
      </c>
      <c r="DK13" s="213">
        <f t="shared" si="3"/>
        <v>243045.581</v>
      </c>
      <c r="DL13" s="213">
        <f t="shared" si="3"/>
        <v>243045.581</v>
      </c>
      <c r="DM13" s="213">
        <f t="shared" si="3"/>
        <v>243045.581</v>
      </c>
      <c r="DN13" s="213">
        <f t="shared" si="3"/>
        <v>243045.581</v>
      </c>
      <c r="DO13" s="213">
        <f t="shared" si="3"/>
        <v>243045.581</v>
      </c>
      <c r="DP13" s="213">
        <f t="shared" si="3"/>
        <v>243045.581</v>
      </c>
      <c r="DQ13" s="213">
        <f t="shared" si="3"/>
        <v>243045.581</v>
      </c>
      <c r="DR13" s="213">
        <f t="shared" si="3"/>
        <v>243045.581</v>
      </c>
      <c r="DS13" s="213">
        <f t="shared" si="3"/>
        <v>243045.581</v>
      </c>
      <c r="DT13" s="213">
        <f t="shared" si="3"/>
        <v>250336.9484</v>
      </c>
      <c r="DU13" s="213">
        <f t="shared" si="3"/>
        <v>250336.9484</v>
      </c>
      <c r="DV13" s="213">
        <f t="shared" si="3"/>
        <v>250336.9484</v>
      </c>
      <c r="DW13" s="213">
        <f t="shared" si="3"/>
        <v>250336.9484</v>
      </c>
      <c r="DX13" s="213">
        <f t="shared" si="3"/>
        <v>250336.9484</v>
      </c>
      <c r="DY13" s="213">
        <f t="shared" si="3"/>
        <v>250336.9484</v>
      </c>
      <c r="DZ13" s="213">
        <f t="shared" si="3"/>
        <v>250336.9484</v>
      </c>
      <c r="EA13" s="213">
        <f t="shared" si="3"/>
        <v>250336.9484</v>
      </c>
      <c r="EB13" s="213">
        <f t="shared" si="3"/>
        <v>250336.9484</v>
      </c>
      <c r="EC13" s="213">
        <f t="shared" si="3"/>
        <v>250336.9484</v>
      </c>
      <c r="ED13" s="213">
        <f t="shared" si="3"/>
        <v>250336.9484</v>
      </c>
      <c r="EE13" s="213">
        <f t="shared" si="3"/>
        <v>250336.9484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54">
        <f t="array" ref="D15">-D$13*IF(D$2=Assumptions!$D$68,Assumptions!$D$67,XLOOKUP(D$2,Assumptions!$C$94:$M$94,Assumptions!$C$95:$M$95))</f>
        <v>-9313.71</v>
      </c>
      <c r="E15" s="54">
        <f t="array" ref="E15">-E$13*IF(E$2=Assumptions!$D$68,Assumptions!$D$67,XLOOKUP(E$2,Assumptions!$C$94:$M$94,Assumptions!$C$95:$M$95))</f>
        <v>-9313.71</v>
      </c>
      <c r="F15" s="54">
        <f t="array" ref="F15">-F$13*IF(F$2=Assumptions!$D$68,Assumptions!$D$67,XLOOKUP(F$2,Assumptions!$C$94:$M$94,Assumptions!$C$95:$M$95))</f>
        <v>-9313.71</v>
      </c>
      <c r="G15" s="54">
        <f t="array" ref="G15">-G$13*IF(G$2=Assumptions!$D$68,Assumptions!$D$67,XLOOKUP(G$2,Assumptions!$C$94:$M$94,Assumptions!$C$95:$M$95))</f>
        <v>-9313.71</v>
      </c>
      <c r="H15" s="54">
        <f t="array" ref="H15">-H$13*IF(H$2=Assumptions!$D$68,Assumptions!$D$67,XLOOKUP(H$2,Assumptions!$C$94:$M$94,Assumptions!$C$95:$M$95))</f>
        <v>-9313.71</v>
      </c>
      <c r="I15" s="54">
        <f t="array" ref="I15">-I$13*IF(I$2=Assumptions!$D$68,Assumptions!$D$67,XLOOKUP(I$2,Assumptions!$C$94:$M$94,Assumptions!$C$95:$M$95))</f>
        <v>-9313.71</v>
      </c>
      <c r="J15" s="54">
        <f t="array" ref="J15">-J$13*IF(J$2=Assumptions!$D$68,Assumptions!$D$67,XLOOKUP(J$2,Assumptions!$C$94:$M$94,Assumptions!$C$95:$M$95))</f>
        <v>-9313.71</v>
      </c>
      <c r="K15" s="54">
        <f t="array" ref="K15">-K$13*IF(K$2=Assumptions!$D$68,Assumptions!$D$67,XLOOKUP(K$2,Assumptions!$C$94:$M$94,Assumptions!$C$95:$M$95))</f>
        <v>-9313.71</v>
      </c>
      <c r="L15" s="54">
        <f t="array" ref="L15">-L$13*IF(L$2=Assumptions!$D$68,Assumptions!$D$67,XLOOKUP(L$2,Assumptions!$C$94:$M$94,Assumptions!$C$95:$M$95))</f>
        <v>-9313.71</v>
      </c>
      <c r="M15" s="54">
        <f t="array" ref="M15">-M$13*IF(M$2=Assumptions!$D$68,Assumptions!$D$67,XLOOKUP(M$2,Assumptions!$C$94:$M$94,Assumptions!$C$95:$M$95))</f>
        <v>-9313.71</v>
      </c>
      <c r="N15" s="54">
        <f t="array" ref="N15">-N$13*IF(N$2=Assumptions!$D$68,Assumptions!$D$67,XLOOKUP(N$2,Assumptions!$C$94:$M$94,Assumptions!$C$95:$M$95))</f>
        <v>-9313.71</v>
      </c>
      <c r="O15" s="54">
        <f t="array" ref="O15">-O$13*IF(O$2=Assumptions!$D$68,Assumptions!$D$67,XLOOKUP(O$2,Assumptions!$C$94:$M$94,Assumptions!$C$95:$M$95))</f>
        <v>-9313.71</v>
      </c>
      <c r="P15" s="54">
        <f t="array" ref="P15">-P$13*IF(P$2=Assumptions!$D$68,Assumptions!$D$67,XLOOKUP(P$2,Assumptions!$C$94:$M$94,Assumptions!$C$95:$M$95))</f>
        <v>-3837.24852</v>
      </c>
      <c r="Q15" s="54">
        <f t="array" ref="Q15">-Q$13*IF(Q$2=Assumptions!$D$68,Assumptions!$D$67,XLOOKUP(Q$2,Assumptions!$C$94:$M$94,Assumptions!$C$95:$M$95))</f>
        <v>-3837.24852</v>
      </c>
      <c r="R15" s="54">
        <f t="array" ref="R15">-R$13*IF(R$2=Assumptions!$D$68,Assumptions!$D$67,XLOOKUP(R$2,Assumptions!$C$94:$M$94,Assumptions!$C$95:$M$95))</f>
        <v>-3837.24852</v>
      </c>
      <c r="S15" s="54">
        <f t="array" ref="S15">-S$13*IF(S$2=Assumptions!$D$68,Assumptions!$D$67,XLOOKUP(S$2,Assumptions!$C$94:$M$94,Assumptions!$C$95:$M$95))</f>
        <v>-3837.24852</v>
      </c>
      <c r="T15" s="54">
        <f t="array" ref="T15">-T$13*IF(T$2=Assumptions!$D$68,Assumptions!$D$67,XLOOKUP(T$2,Assumptions!$C$94:$M$94,Assumptions!$C$95:$M$95))</f>
        <v>-3837.24852</v>
      </c>
      <c r="U15" s="54">
        <f t="array" ref="U15">-U$13*IF(U$2=Assumptions!$D$68,Assumptions!$D$67,XLOOKUP(U$2,Assumptions!$C$94:$M$94,Assumptions!$C$95:$M$95))</f>
        <v>-3837.24852</v>
      </c>
      <c r="V15" s="54">
        <f t="array" ref="V15">-V$13*IF(V$2=Assumptions!$D$68,Assumptions!$D$67,XLOOKUP(V$2,Assumptions!$C$94:$M$94,Assumptions!$C$95:$M$95))</f>
        <v>-3837.24852</v>
      </c>
      <c r="W15" s="54">
        <f t="array" ref="W15">-W$13*IF(W$2=Assumptions!$D$68,Assumptions!$D$67,XLOOKUP(W$2,Assumptions!$C$94:$M$94,Assumptions!$C$95:$M$95))</f>
        <v>-3837.24852</v>
      </c>
      <c r="X15" s="54">
        <f t="array" ref="X15">-X$13*IF(X$2=Assumptions!$D$68,Assumptions!$D$67,XLOOKUP(X$2,Assumptions!$C$94:$M$94,Assumptions!$C$95:$M$95))</f>
        <v>-3837.24852</v>
      </c>
      <c r="Y15" s="54">
        <f t="array" ref="Y15">-Y$13*IF(Y$2=Assumptions!$D$68,Assumptions!$D$67,XLOOKUP(Y$2,Assumptions!$C$94:$M$94,Assumptions!$C$95:$M$95))</f>
        <v>-3837.24852</v>
      </c>
      <c r="Z15" s="54">
        <f t="array" ref="Z15">-Z$13*IF(Z$2=Assumptions!$D$68,Assumptions!$D$67,XLOOKUP(Z$2,Assumptions!$C$94:$M$94,Assumptions!$C$95:$M$95))</f>
        <v>-3837.24852</v>
      </c>
      <c r="AA15" s="54">
        <f t="array" ref="AA15">-AA$13*IF(AA$2=Assumptions!$D$68,Assumptions!$D$67,XLOOKUP(AA$2,Assumptions!$C$94:$M$94,Assumptions!$C$95:$M$95))</f>
        <v>-3837.24852</v>
      </c>
      <c r="AB15" s="54">
        <f t="array" ref="AB15">-AB$13*IF(AB$2=Assumptions!$D$68,Assumptions!$D$67,XLOOKUP(AB$2,Assumptions!$C$94:$M$94,Assumptions!$C$95:$M$95))</f>
        <v>-3952.365976</v>
      </c>
      <c r="AC15" s="54">
        <f t="array" ref="AC15">-AC$13*IF(AC$2=Assumptions!$D$68,Assumptions!$D$67,XLOOKUP(AC$2,Assumptions!$C$94:$M$94,Assumptions!$C$95:$M$95))</f>
        <v>-3952.365976</v>
      </c>
      <c r="AD15" s="54">
        <f t="array" ref="AD15">-AD$13*IF(AD$2=Assumptions!$D$68,Assumptions!$D$67,XLOOKUP(AD$2,Assumptions!$C$94:$M$94,Assumptions!$C$95:$M$95))</f>
        <v>-3952.365976</v>
      </c>
      <c r="AE15" s="54">
        <f t="array" ref="AE15">-AE$13*IF(AE$2=Assumptions!$D$68,Assumptions!$D$67,XLOOKUP(AE$2,Assumptions!$C$94:$M$94,Assumptions!$C$95:$M$95))</f>
        <v>-3952.365976</v>
      </c>
      <c r="AF15" s="54">
        <f t="array" ref="AF15">-AF$13*IF(AF$2=Assumptions!$D$68,Assumptions!$D$67,XLOOKUP(AF$2,Assumptions!$C$94:$M$94,Assumptions!$C$95:$M$95))</f>
        <v>-3952.365976</v>
      </c>
      <c r="AG15" s="54">
        <f t="array" ref="AG15">-AG$13*IF(AG$2=Assumptions!$D$68,Assumptions!$D$67,XLOOKUP(AG$2,Assumptions!$C$94:$M$94,Assumptions!$C$95:$M$95))</f>
        <v>-3952.365976</v>
      </c>
      <c r="AH15" s="54">
        <f t="array" ref="AH15">-AH$13*IF(AH$2=Assumptions!$D$68,Assumptions!$D$67,XLOOKUP(AH$2,Assumptions!$C$94:$M$94,Assumptions!$C$95:$M$95))</f>
        <v>-3952.365976</v>
      </c>
      <c r="AI15" s="54">
        <f t="array" ref="AI15">-AI$13*IF(AI$2=Assumptions!$D$68,Assumptions!$D$67,XLOOKUP(AI$2,Assumptions!$C$94:$M$94,Assumptions!$C$95:$M$95))</f>
        <v>-3952.365976</v>
      </c>
      <c r="AJ15" s="54">
        <f t="array" ref="AJ15">-AJ$13*IF(AJ$2=Assumptions!$D$68,Assumptions!$D$67,XLOOKUP(AJ$2,Assumptions!$C$94:$M$94,Assumptions!$C$95:$M$95))</f>
        <v>-3952.365976</v>
      </c>
      <c r="AK15" s="54">
        <f t="array" ref="AK15">-AK$13*IF(AK$2=Assumptions!$D$68,Assumptions!$D$67,XLOOKUP(AK$2,Assumptions!$C$94:$M$94,Assumptions!$C$95:$M$95))</f>
        <v>-3952.365976</v>
      </c>
      <c r="AL15" s="54">
        <f t="array" ref="AL15">-AL$13*IF(AL$2=Assumptions!$D$68,Assumptions!$D$67,XLOOKUP(AL$2,Assumptions!$C$94:$M$94,Assumptions!$C$95:$M$95))</f>
        <v>-3952.365976</v>
      </c>
      <c r="AM15" s="54">
        <f t="array" ref="AM15">-AM$13*IF(AM$2=Assumptions!$D$68,Assumptions!$D$67,XLOOKUP(AM$2,Assumptions!$C$94:$M$94,Assumptions!$C$95:$M$95))</f>
        <v>-3952.365976</v>
      </c>
      <c r="AN15" s="54">
        <f t="array" ref="AN15">-AN$13*IF(AN$2=Assumptions!$D$68,Assumptions!$D$67,XLOOKUP(AN$2,Assumptions!$C$94:$M$94,Assumptions!$C$95:$M$95))</f>
        <v>-4070.936955</v>
      </c>
      <c r="AO15" s="54">
        <f t="array" ref="AO15">-AO$13*IF(AO$2=Assumptions!$D$68,Assumptions!$D$67,XLOOKUP(AO$2,Assumptions!$C$94:$M$94,Assumptions!$C$95:$M$95))</f>
        <v>-4070.936955</v>
      </c>
      <c r="AP15" s="54">
        <f t="array" ref="AP15">-AP$13*IF(AP$2=Assumptions!$D$68,Assumptions!$D$67,XLOOKUP(AP$2,Assumptions!$C$94:$M$94,Assumptions!$C$95:$M$95))</f>
        <v>-4070.936955</v>
      </c>
      <c r="AQ15" s="54">
        <f t="array" ref="AQ15">-AQ$13*IF(AQ$2=Assumptions!$D$68,Assumptions!$D$67,XLOOKUP(AQ$2,Assumptions!$C$94:$M$94,Assumptions!$C$95:$M$95))</f>
        <v>-4070.936955</v>
      </c>
      <c r="AR15" s="54">
        <f t="array" ref="AR15">-AR$13*IF(AR$2=Assumptions!$D$68,Assumptions!$D$67,XLOOKUP(AR$2,Assumptions!$C$94:$M$94,Assumptions!$C$95:$M$95))</f>
        <v>-4070.936955</v>
      </c>
      <c r="AS15" s="54">
        <f t="array" ref="AS15">-AS$13*IF(AS$2=Assumptions!$D$68,Assumptions!$D$67,XLOOKUP(AS$2,Assumptions!$C$94:$M$94,Assumptions!$C$95:$M$95))</f>
        <v>-4070.936955</v>
      </c>
      <c r="AT15" s="54">
        <f t="array" ref="AT15">-AT$13*IF(AT$2=Assumptions!$D$68,Assumptions!$D$67,XLOOKUP(AT$2,Assumptions!$C$94:$M$94,Assumptions!$C$95:$M$95))</f>
        <v>-4070.936955</v>
      </c>
      <c r="AU15" s="54">
        <f t="array" ref="AU15">-AU$13*IF(AU$2=Assumptions!$D$68,Assumptions!$D$67,XLOOKUP(AU$2,Assumptions!$C$94:$M$94,Assumptions!$C$95:$M$95))</f>
        <v>-4070.936955</v>
      </c>
      <c r="AV15" s="54">
        <f t="array" ref="AV15">-AV$13*IF(AV$2=Assumptions!$D$68,Assumptions!$D$67,XLOOKUP(AV$2,Assumptions!$C$94:$M$94,Assumptions!$C$95:$M$95))</f>
        <v>-4070.936955</v>
      </c>
      <c r="AW15" s="54">
        <f t="array" ref="AW15">-AW$13*IF(AW$2=Assumptions!$D$68,Assumptions!$D$67,XLOOKUP(AW$2,Assumptions!$C$94:$M$94,Assumptions!$C$95:$M$95))</f>
        <v>-4070.936955</v>
      </c>
      <c r="AX15" s="54">
        <f t="array" ref="AX15">-AX$13*IF(AX$2=Assumptions!$D$68,Assumptions!$D$67,XLOOKUP(AX$2,Assumptions!$C$94:$M$94,Assumptions!$C$95:$M$95))</f>
        <v>-4070.936955</v>
      </c>
      <c r="AY15" s="54">
        <f t="array" ref="AY15">-AY$13*IF(AY$2=Assumptions!$D$68,Assumptions!$D$67,XLOOKUP(AY$2,Assumptions!$C$94:$M$94,Assumptions!$C$95:$M$95))</f>
        <v>-4070.936955</v>
      </c>
      <c r="AZ15" s="54">
        <f t="array" ref="AZ15">-AZ$13*IF(AZ$2=Assumptions!$D$68,Assumptions!$D$67,XLOOKUP(AZ$2,Assumptions!$C$94:$M$94,Assumptions!$C$95:$M$95))</f>
        <v>-4193.065064</v>
      </c>
      <c r="BA15" s="54">
        <f t="array" ref="BA15">-BA$13*IF(BA$2=Assumptions!$D$68,Assumptions!$D$67,XLOOKUP(BA$2,Assumptions!$C$94:$M$94,Assumptions!$C$95:$M$95))</f>
        <v>-4193.065064</v>
      </c>
      <c r="BB15" s="54">
        <f t="array" ref="BB15">-BB$13*IF(BB$2=Assumptions!$D$68,Assumptions!$D$67,XLOOKUP(BB$2,Assumptions!$C$94:$M$94,Assumptions!$C$95:$M$95))</f>
        <v>-4193.065064</v>
      </c>
      <c r="BC15" s="54">
        <f t="array" ref="BC15">-BC$13*IF(BC$2=Assumptions!$D$68,Assumptions!$D$67,XLOOKUP(BC$2,Assumptions!$C$94:$M$94,Assumptions!$C$95:$M$95))</f>
        <v>-4193.065064</v>
      </c>
      <c r="BD15" s="54">
        <f t="array" ref="BD15">-BD$13*IF(BD$2=Assumptions!$D$68,Assumptions!$D$67,XLOOKUP(BD$2,Assumptions!$C$94:$M$94,Assumptions!$C$95:$M$95))</f>
        <v>-4193.065064</v>
      </c>
      <c r="BE15" s="54">
        <f t="array" ref="BE15">-BE$13*IF(BE$2=Assumptions!$D$68,Assumptions!$D$67,XLOOKUP(BE$2,Assumptions!$C$94:$M$94,Assumptions!$C$95:$M$95))</f>
        <v>-4193.065064</v>
      </c>
      <c r="BF15" s="54">
        <f t="array" ref="BF15">-BF$13*IF(BF$2=Assumptions!$D$68,Assumptions!$D$67,XLOOKUP(BF$2,Assumptions!$C$94:$M$94,Assumptions!$C$95:$M$95))</f>
        <v>-4193.065064</v>
      </c>
      <c r="BG15" s="54">
        <f t="array" ref="BG15">-BG$13*IF(BG$2=Assumptions!$D$68,Assumptions!$D$67,XLOOKUP(BG$2,Assumptions!$C$94:$M$94,Assumptions!$C$95:$M$95))</f>
        <v>-4193.065064</v>
      </c>
      <c r="BH15" s="54">
        <f t="array" ref="BH15">-BH$13*IF(BH$2=Assumptions!$D$68,Assumptions!$D$67,XLOOKUP(BH$2,Assumptions!$C$94:$M$94,Assumptions!$C$95:$M$95))</f>
        <v>-4193.065064</v>
      </c>
      <c r="BI15" s="54">
        <f t="array" ref="BI15">-BI$13*IF(BI$2=Assumptions!$D$68,Assumptions!$D$67,XLOOKUP(BI$2,Assumptions!$C$94:$M$94,Assumptions!$C$95:$M$95))</f>
        <v>-4193.065064</v>
      </c>
      <c r="BJ15" s="54">
        <f t="array" ref="BJ15">-BJ$13*IF(BJ$2=Assumptions!$D$68,Assumptions!$D$67,XLOOKUP(BJ$2,Assumptions!$C$94:$M$94,Assumptions!$C$95:$M$95))</f>
        <v>-4193.065064</v>
      </c>
      <c r="BK15" s="54">
        <f t="array" ref="BK15">-BK$13*IF(BK$2=Assumptions!$D$68,Assumptions!$D$67,XLOOKUP(BK$2,Assumptions!$C$94:$M$94,Assumptions!$C$95:$M$95))</f>
        <v>-4193.065064</v>
      </c>
      <c r="BL15" s="54">
        <f t="array" ref="BL15">-BL$13*IF(BL$2=Assumptions!$D$68,Assumptions!$D$67,XLOOKUP(BL$2,Assumptions!$C$94:$M$94,Assumptions!$C$95:$M$95))</f>
        <v>-4318.857015</v>
      </c>
      <c r="BM15" s="54">
        <f t="array" ref="BM15">-BM$13*IF(BM$2=Assumptions!$D$68,Assumptions!$D$67,XLOOKUP(BM$2,Assumptions!$C$94:$M$94,Assumptions!$C$95:$M$95))</f>
        <v>-4318.857015</v>
      </c>
      <c r="BN15" s="54">
        <f t="array" ref="BN15">-BN$13*IF(BN$2=Assumptions!$D$68,Assumptions!$D$67,XLOOKUP(BN$2,Assumptions!$C$94:$M$94,Assumptions!$C$95:$M$95))</f>
        <v>-4318.857015</v>
      </c>
      <c r="BO15" s="54">
        <f t="array" ref="BO15">-BO$13*IF(BO$2=Assumptions!$D$68,Assumptions!$D$67,XLOOKUP(BO$2,Assumptions!$C$94:$M$94,Assumptions!$C$95:$M$95))</f>
        <v>-4318.857015</v>
      </c>
      <c r="BP15" s="54">
        <f t="array" ref="BP15">-BP$13*IF(BP$2=Assumptions!$D$68,Assumptions!$D$67,XLOOKUP(BP$2,Assumptions!$C$94:$M$94,Assumptions!$C$95:$M$95))</f>
        <v>-4318.857015</v>
      </c>
      <c r="BQ15" s="54">
        <f t="array" ref="BQ15">-BQ$13*IF(BQ$2=Assumptions!$D$68,Assumptions!$D$67,XLOOKUP(BQ$2,Assumptions!$C$94:$M$94,Assumptions!$C$95:$M$95))</f>
        <v>-4318.857015</v>
      </c>
      <c r="BR15" s="54">
        <f t="array" ref="BR15">-BR$13*IF(BR$2=Assumptions!$D$68,Assumptions!$D$67,XLOOKUP(BR$2,Assumptions!$C$94:$M$94,Assumptions!$C$95:$M$95))</f>
        <v>-4318.857015</v>
      </c>
      <c r="BS15" s="54">
        <f t="array" ref="BS15">-BS$13*IF(BS$2=Assumptions!$D$68,Assumptions!$D$67,XLOOKUP(BS$2,Assumptions!$C$94:$M$94,Assumptions!$C$95:$M$95))</f>
        <v>-4318.857015</v>
      </c>
      <c r="BT15" s="54">
        <f t="array" ref="BT15">-BT$13*IF(BT$2=Assumptions!$D$68,Assumptions!$D$67,XLOOKUP(BT$2,Assumptions!$C$94:$M$94,Assumptions!$C$95:$M$95))</f>
        <v>-4318.857015</v>
      </c>
      <c r="BU15" s="54">
        <f t="array" ref="BU15">-BU$13*IF(BU$2=Assumptions!$D$68,Assumptions!$D$67,XLOOKUP(BU$2,Assumptions!$C$94:$M$94,Assumptions!$C$95:$M$95))</f>
        <v>-4318.857015</v>
      </c>
      <c r="BV15" s="54">
        <f t="array" ref="BV15">-BV$13*IF(BV$2=Assumptions!$D$68,Assumptions!$D$67,XLOOKUP(BV$2,Assumptions!$C$94:$M$94,Assumptions!$C$95:$M$95))</f>
        <v>-4318.857015</v>
      </c>
      <c r="BW15" s="54">
        <f t="array" ref="BW15">-BW$13*IF(BW$2=Assumptions!$D$68,Assumptions!$D$67,XLOOKUP(BW$2,Assumptions!$C$94:$M$94,Assumptions!$C$95:$M$95))</f>
        <v>-4318.857015</v>
      </c>
      <c r="BX15" s="54">
        <f t="array" ref="BX15">-BX$13*IF(BX$2=Assumptions!$D$68,Assumptions!$D$67,XLOOKUP(BX$2,Assumptions!$C$94:$M$94,Assumptions!$C$95:$M$95))</f>
        <v>-4448.422726</v>
      </c>
      <c r="BY15" s="54">
        <f t="array" ref="BY15">-BY$13*IF(BY$2=Assumptions!$D$68,Assumptions!$D$67,XLOOKUP(BY$2,Assumptions!$C$94:$M$94,Assumptions!$C$95:$M$95))</f>
        <v>-4448.422726</v>
      </c>
      <c r="BZ15" s="54">
        <f t="array" ref="BZ15">-BZ$13*IF(BZ$2=Assumptions!$D$68,Assumptions!$D$67,XLOOKUP(BZ$2,Assumptions!$C$94:$M$94,Assumptions!$C$95:$M$95))</f>
        <v>-4448.422726</v>
      </c>
      <c r="CA15" s="54">
        <f t="array" ref="CA15">-CA$13*IF(CA$2=Assumptions!$D$68,Assumptions!$D$67,XLOOKUP(CA$2,Assumptions!$C$94:$M$94,Assumptions!$C$95:$M$95))</f>
        <v>-4448.422726</v>
      </c>
      <c r="CB15" s="54">
        <f t="array" ref="CB15">-CB$13*IF(CB$2=Assumptions!$D$68,Assumptions!$D$67,XLOOKUP(CB$2,Assumptions!$C$94:$M$94,Assumptions!$C$95:$M$95))</f>
        <v>-4448.422726</v>
      </c>
      <c r="CC15" s="54">
        <f t="array" ref="CC15">-CC$13*IF(CC$2=Assumptions!$D$68,Assumptions!$D$67,XLOOKUP(CC$2,Assumptions!$C$94:$M$94,Assumptions!$C$95:$M$95))</f>
        <v>-4448.422726</v>
      </c>
      <c r="CD15" s="54">
        <f t="array" ref="CD15">-CD$13*IF(CD$2=Assumptions!$D$68,Assumptions!$D$67,XLOOKUP(CD$2,Assumptions!$C$94:$M$94,Assumptions!$C$95:$M$95))</f>
        <v>-4448.422726</v>
      </c>
      <c r="CE15" s="54">
        <f t="array" ref="CE15">-CE$13*IF(CE$2=Assumptions!$D$68,Assumptions!$D$67,XLOOKUP(CE$2,Assumptions!$C$94:$M$94,Assumptions!$C$95:$M$95))</f>
        <v>-4448.422726</v>
      </c>
      <c r="CF15" s="54">
        <f t="array" ref="CF15">-CF$13*IF(CF$2=Assumptions!$D$68,Assumptions!$D$67,XLOOKUP(CF$2,Assumptions!$C$94:$M$94,Assumptions!$C$95:$M$95))</f>
        <v>-4448.422726</v>
      </c>
      <c r="CG15" s="54">
        <f t="array" ref="CG15">-CG$13*IF(CG$2=Assumptions!$D$68,Assumptions!$D$67,XLOOKUP(CG$2,Assumptions!$C$94:$M$94,Assumptions!$C$95:$M$95))</f>
        <v>-4448.422726</v>
      </c>
      <c r="CH15" s="54">
        <f t="array" ref="CH15">-CH$13*IF(CH$2=Assumptions!$D$68,Assumptions!$D$67,XLOOKUP(CH$2,Assumptions!$C$94:$M$94,Assumptions!$C$95:$M$95))</f>
        <v>-4448.422726</v>
      </c>
      <c r="CI15" s="54">
        <f t="array" ref="CI15">-CI$13*IF(CI$2=Assumptions!$D$68,Assumptions!$D$67,XLOOKUP(CI$2,Assumptions!$C$94:$M$94,Assumptions!$C$95:$M$95))</f>
        <v>-4448.422726</v>
      </c>
      <c r="CJ15" s="54">
        <f t="array" ref="CJ15">-CJ$13*IF(CJ$2=Assumptions!$D$68,Assumptions!$D$67,XLOOKUP(CJ$2,Assumptions!$C$94:$M$94,Assumptions!$C$95:$M$95))</f>
        <v>-4581.875408</v>
      </c>
      <c r="CK15" s="54">
        <f t="array" ref="CK15">-CK$13*IF(CK$2=Assumptions!$D$68,Assumptions!$D$67,XLOOKUP(CK$2,Assumptions!$C$94:$M$94,Assumptions!$C$95:$M$95))</f>
        <v>-4581.875408</v>
      </c>
      <c r="CL15" s="54">
        <f t="array" ref="CL15">-CL$13*IF(CL$2=Assumptions!$D$68,Assumptions!$D$67,XLOOKUP(CL$2,Assumptions!$C$94:$M$94,Assumptions!$C$95:$M$95))</f>
        <v>-4581.875408</v>
      </c>
      <c r="CM15" s="54">
        <f t="array" ref="CM15">-CM$13*IF(CM$2=Assumptions!$D$68,Assumptions!$D$67,XLOOKUP(CM$2,Assumptions!$C$94:$M$94,Assumptions!$C$95:$M$95))</f>
        <v>-4581.875408</v>
      </c>
      <c r="CN15" s="54">
        <f t="array" ref="CN15">-CN$13*IF(CN$2=Assumptions!$D$68,Assumptions!$D$67,XLOOKUP(CN$2,Assumptions!$C$94:$M$94,Assumptions!$C$95:$M$95))</f>
        <v>-4581.875408</v>
      </c>
      <c r="CO15" s="54">
        <f t="array" ref="CO15">-CO$13*IF(CO$2=Assumptions!$D$68,Assumptions!$D$67,XLOOKUP(CO$2,Assumptions!$C$94:$M$94,Assumptions!$C$95:$M$95))</f>
        <v>-4581.875408</v>
      </c>
      <c r="CP15" s="54">
        <f t="array" ref="CP15">-CP$13*IF(CP$2=Assumptions!$D$68,Assumptions!$D$67,XLOOKUP(CP$2,Assumptions!$C$94:$M$94,Assumptions!$C$95:$M$95))</f>
        <v>-4581.875408</v>
      </c>
      <c r="CQ15" s="54">
        <f t="array" ref="CQ15">-CQ$13*IF(CQ$2=Assumptions!$D$68,Assumptions!$D$67,XLOOKUP(CQ$2,Assumptions!$C$94:$M$94,Assumptions!$C$95:$M$95))</f>
        <v>-4581.875408</v>
      </c>
      <c r="CR15" s="54">
        <f t="array" ref="CR15">-CR$13*IF(CR$2=Assumptions!$D$68,Assumptions!$D$67,XLOOKUP(CR$2,Assumptions!$C$94:$M$94,Assumptions!$C$95:$M$95))</f>
        <v>-4581.875408</v>
      </c>
      <c r="CS15" s="54">
        <f t="array" ref="CS15">-CS$13*IF(CS$2=Assumptions!$D$68,Assumptions!$D$67,XLOOKUP(CS$2,Assumptions!$C$94:$M$94,Assumptions!$C$95:$M$95))</f>
        <v>-4581.875408</v>
      </c>
      <c r="CT15" s="54">
        <f t="array" ref="CT15">-CT$13*IF(CT$2=Assumptions!$D$68,Assumptions!$D$67,XLOOKUP(CT$2,Assumptions!$C$94:$M$94,Assumptions!$C$95:$M$95))</f>
        <v>-4581.875408</v>
      </c>
      <c r="CU15" s="54">
        <f t="array" ref="CU15">-CU$13*IF(CU$2=Assumptions!$D$68,Assumptions!$D$67,XLOOKUP(CU$2,Assumptions!$C$94:$M$94,Assumptions!$C$95:$M$95))</f>
        <v>-4581.875408</v>
      </c>
      <c r="CV15" s="54">
        <f t="array" ref="CV15">-CV$13*IF(CV$2=Assumptions!$D$68,Assumptions!$D$67,XLOOKUP(CV$2,Assumptions!$C$94:$M$94,Assumptions!$C$95:$M$95))</f>
        <v>-4719.33167</v>
      </c>
      <c r="CW15" s="54">
        <f t="array" ref="CW15">-CW$13*IF(CW$2=Assumptions!$D$68,Assumptions!$D$67,XLOOKUP(CW$2,Assumptions!$C$94:$M$94,Assumptions!$C$95:$M$95))</f>
        <v>-4719.33167</v>
      </c>
      <c r="CX15" s="54">
        <f t="array" ref="CX15">-CX$13*IF(CX$2=Assumptions!$D$68,Assumptions!$D$67,XLOOKUP(CX$2,Assumptions!$C$94:$M$94,Assumptions!$C$95:$M$95))</f>
        <v>-4719.33167</v>
      </c>
      <c r="CY15" s="54">
        <f t="array" ref="CY15">-CY$13*IF(CY$2=Assumptions!$D$68,Assumptions!$D$67,XLOOKUP(CY$2,Assumptions!$C$94:$M$94,Assumptions!$C$95:$M$95))</f>
        <v>-4719.33167</v>
      </c>
      <c r="CZ15" s="54">
        <f t="array" ref="CZ15">-CZ$13*IF(CZ$2=Assumptions!$D$68,Assumptions!$D$67,XLOOKUP(CZ$2,Assumptions!$C$94:$M$94,Assumptions!$C$95:$M$95))</f>
        <v>-4719.33167</v>
      </c>
      <c r="DA15" s="54">
        <f t="array" ref="DA15">-DA$13*IF(DA$2=Assumptions!$D$68,Assumptions!$D$67,XLOOKUP(DA$2,Assumptions!$C$94:$M$94,Assumptions!$C$95:$M$95))</f>
        <v>-4719.33167</v>
      </c>
      <c r="DB15" s="54">
        <f t="array" ref="DB15">-DB$13*IF(DB$2=Assumptions!$D$68,Assumptions!$D$67,XLOOKUP(DB$2,Assumptions!$C$94:$M$94,Assumptions!$C$95:$M$95))</f>
        <v>-4719.33167</v>
      </c>
      <c r="DC15" s="54">
        <f t="array" ref="DC15">-DC$13*IF(DC$2=Assumptions!$D$68,Assumptions!$D$67,XLOOKUP(DC$2,Assumptions!$C$94:$M$94,Assumptions!$C$95:$M$95))</f>
        <v>-4719.33167</v>
      </c>
      <c r="DD15" s="54">
        <f t="array" ref="DD15">-DD$13*IF(DD$2=Assumptions!$D$68,Assumptions!$D$67,XLOOKUP(DD$2,Assumptions!$C$94:$M$94,Assumptions!$C$95:$M$95))</f>
        <v>-4719.33167</v>
      </c>
      <c r="DE15" s="54">
        <f t="array" ref="DE15">-DE$13*IF(DE$2=Assumptions!$D$68,Assumptions!$D$67,XLOOKUP(DE$2,Assumptions!$C$94:$M$94,Assumptions!$C$95:$M$95))</f>
        <v>-4719.33167</v>
      </c>
      <c r="DF15" s="54">
        <f t="array" ref="DF15">-DF$13*IF(DF$2=Assumptions!$D$68,Assumptions!$D$67,XLOOKUP(DF$2,Assumptions!$C$94:$M$94,Assumptions!$C$95:$M$95))</f>
        <v>-4719.33167</v>
      </c>
      <c r="DG15" s="54">
        <f t="array" ref="DG15">-DG$13*IF(DG$2=Assumptions!$D$68,Assumptions!$D$67,XLOOKUP(DG$2,Assumptions!$C$94:$M$94,Assumptions!$C$95:$M$95))</f>
        <v>-4719.33167</v>
      </c>
      <c r="DH15" s="54">
        <f t="array" ref="DH15">-DH$13*IF(DH$2=Assumptions!$D$68,Assumptions!$D$67,XLOOKUP(DH$2,Assumptions!$C$94:$M$94,Assumptions!$C$95:$M$95))</f>
        <v>-12152.27905</v>
      </c>
      <c r="DI15" s="54">
        <f t="array" ref="DI15">-DI$13*IF(DI$2=Assumptions!$D$68,Assumptions!$D$67,XLOOKUP(DI$2,Assumptions!$C$94:$M$94,Assumptions!$C$95:$M$95))</f>
        <v>-12152.27905</v>
      </c>
      <c r="DJ15" s="54">
        <f t="array" ref="DJ15">-DJ$13*IF(DJ$2=Assumptions!$D$68,Assumptions!$D$67,XLOOKUP(DJ$2,Assumptions!$C$94:$M$94,Assumptions!$C$95:$M$95))</f>
        <v>-12152.27905</v>
      </c>
      <c r="DK15" s="54">
        <f t="array" ref="DK15">-DK$13*IF(DK$2=Assumptions!$D$68,Assumptions!$D$67,XLOOKUP(DK$2,Assumptions!$C$94:$M$94,Assumptions!$C$95:$M$95))</f>
        <v>-12152.27905</v>
      </c>
      <c r="DL15" s="54">
        <f t="array" ref="DL15">-DL$13*IF(DL$2=Assumptions!$D$68,Assumptions!$D$67,XLOOKUP(DL$2,Assumptions!$C$94:$M$94,Assumptions!$C$95:$M$95))</f>
        <v>-12152.27905</v>
      </c>
      <c r="DM15" s="54">
        <f t="array" ref="DM15">-DM$13*IF(DM$2=Assumptions!$D$68,Assumptions!$D$67,XLOOKUP(DM$2,Assumptions!$C$94:$M$94,Assumptions!$C$95:$M$95))</f>
        <v>-12152.27905</v>
      </c>
      <c r="DN15" s="54">
        <f t="array" ref="DN15">-DN$13*IF(DN$2=Assumptions!$D$68,Assumptions!$D$67,XLOOKUP(DN$2,Assumptions!$C$94:$M$94,Assumptions!$C$95:$M$95))</f>
        <v>-12152.27905</v>
      </c>
      <c r="DO15" s="54">
        <f t="array" ref="DO15">-DO$13*IF(DO$2=Assumptions!$D$68,Assumptions!$D$67,XLOOKUP(DO$2,Assumptions!$C$94:$M$94,Assumptions!$C$95:$M$95))</f>
        <v>-12152.27905</v>
      </c>
      <c r="DP15" s="54">
        <f t="array" ref="DP15">-DP$13*IF(DP$2=Assumptions!$D$68,Assumptions!$D$67,XLOOKUP(DP$2,Assumptions!$C$94:$M$94,Assumptions!$C$95:$M$95))</f>
        <v>-12152.27905</v>
      </c>
      <c r="DQ15" s="54">
        <f t="array" ref="DQ15">-DQ$13*IF(DQ$2=Assumptions!$D$68,Assumptions!$D$67,XLOOKUP(DQ$2,Assumptions!$C$94:$M$94,Assumptions!$C$95:$M$95))</f>
        <v>-12152.27905</v>
      </c>
      <c r="DR15" s="54">
        <f t="array" ref="DR15">-DR$13*IF(DR$2=Assumptions!$D$68,Assumptions!$D$67,XLOOKUP(DR$2,Assumptions!$C$94:$M$94,Assumptions!$C$95:$M$95))</f>
        <v>-12152.27905</v>
      </c>
      <c r="DS15" s="54">
        <f t="array" ref="DS15">-DS$13*IF(DS$2=Assumptions!$D$68,Assumptions!$D$67,XLOOKUP(DS$2,Assumptions!$C$94:$M$94,Assumptions!$C$95:$M$95))</f>
        <v>-12152.27905</v>
      </c>
      <c r="DT15" s="54">
        <f t="array" ref="DT15">-DT$13*IF(DT$2=Assumptions!$D$68,Assumptions!$D$67,XLOOKUP(DT$2,Assumptions!$C$94:$M$94,Assumptions!$C$95:$M$95))</f>
        <v>-5006.738969</v>
      </c>
      <c r="DU15" s="54">
        <f t="array" ref="DU15">-DU$13*IF(DU$2=Assumptions!$D$68,Assumptions!$D$67,XLOOKUP(DU$2,Assumptions!$C$94:$M$94,Assumptions!$C$95:$M$95))</f>
        <v>-5006.738969</v>
      </c>
      <c r="DV15" s="54">
        <f t="array" ref="DV15">-DV$13*IF(DV$2=Assumptions!$D$68,Assumptions!$D$67,XLOOKUP(DV$2,Assumptions!$C$94:$M$94,Assumptions!$C$95:$M$95))</f>
        <v>-5006.738969</v>
      </c>
      <c r="DW15" s="54">
        <f t="array" ref="DW15">-DW$13*IF(DW$2=Assumptions!$D$68,Assumptions!$D$67,XLOOKUP(DW$2,Assumptions!$C$94:$M$94,Assumptions!$C$95:$M$95))</f>
        <v>-5006.738969</v>
      </c>
      <c r="DX15" s="54">
        <f t="array" ref="DX15">-DX$13*IF(DX$2=Assumptions!$D$68,Assumptions!$D$67,XLOOKUP(DX$2,Assumptions!$C$94:$M$94,Assumptions!$C$95:$M$95))</f>
        <v>-5006.738969</v>
      </c>
      <c r="DY15" s="54">
        <f t="array" ref="DY15">-DY$13*IF(DY$2=Assumptions!$D$68,Assumptions!$D$67,XLOOKUP(DY$2,Assumptions!$C$94:$M$94,Assumptions!$C$95:$M$95))</f>
        <v>-5006.738969</v>
      </c>
      <c r="DZ15" s="54">
        <f t="array" ref="DZ15">-DZ$13*IF(DZ$2=Assumptions!$D$68,Assumptions!$D$67,XLOOKUP(DZ$2,Assumptions!$C$94:$M$94,Assumptions!$C$95:$M$95))</f>
        <v>-5006.738969</v>
      </c>
      <c r="EA15" s="54">
        <f t="array" ref="EA15">-EA$13*IF(EA$2=Assumptions!$D$68,Assumptions!$D$67,XLOOKUP(EA$2,Assumptions!$C$94:$M$94,Assumptions!$C$95:$M$95))</f>
        <v>-5006.738969</v>
      </c>
      <c r="EB15" s="54">
        <f t="array" ref="EB15">-EB$13*IF(EB$2=Assumptions!$D$68,Assumptions!$D$67,XLOOKUP(EB$2,Assumptions!$C$94:$M$94,Assumptions!$C$95:$M$95))</f>
        <v>-5006.738969</v>
      </c>
      <c r="EC15" s="54">
        <f t="array" ref="EC15">-EC$13*IF(EC$2=Assumptions!$D$68,Assumptions!$D$67,XLOOKUP(EC$2,Assumptions!$C$94:$M$94,Assumptions!$C$95:$M$95))</f>
        <v>-5006.738969</v>
      </c>
      <c r="ED15" s="54">
        <f t="array" ref="ED15">-ED$13*IF(ED$2=Assumptions!$D$68,Assumptions!$D$67,XLOOKUP(ED$2,Assumptions!$C$94:$M$94,Assumptions!$C$95:$M$95))</f>
        <v>-5006.738969</v>
      </c>
      <c r="EE15" s="54">
        <f t="array" ref="EE15">-EE$13*IF(EE$2=Assumptions!$D$68,Assumptions!$D$67,XLOOKUP(EE$2,Assumptions!$C$94:$M$94,Assumptions!$C$95:$M$95))</f>
        <v>-5006.738969</v>
      </c>
    </row>
    <row r="16" ht="15.75" customHeight="1">
      <c r="A16" s="1"/>
      <c r="B16" s="1"/>
      <c r="C16" s="1" t="str">
        <f>Assumptions!J15</f>
        <v>Bad Debt </v>
      </c>
      <c r="D16" s="54">
        <f>-D$13*Assumptions!$AD15</f>
        <v>-1862.742</v>
      </c>
      <c r="E16" s="54">
        <f>-E$13*Assumptions!$AD15</f>
        <v>-1862.742</v>
      </c>
      <c r="F16" s="54">
        <f>-F$13*Assumptions!$AD15</f>
        <v>-1862.742</v>
      </c>
      <c r="G16" s="54">
        <f>-G$13*Assumptions!$AD15</f>
        <v>-1862.742</v>
      </c>
      <c r="H16" s="54">
        <f>-H$13*Assumptions!$AD15</f>
        <v>-1862.742</v>
      </c>
      <c r="I16" s="54">
        <f>-I$13*Assumptions!$AD15</f>
        <v>-1862.742</v>
      </c>
      <c r="J16" s="54">
        <f>-J$13*Assumptions!$AD15</f>
        <v>-1862.742</v>
      </c>
      <c r="K16" s="54">
        <f>-K$13*Assumptions!$AD15</f>
        <v>-1862.742</v>
      </c>
      <c r="L16" s="54">
        <f>-L$13*Assumptions!$AD15</f>
        <v>-1862.742</v>
      </c>
      <c r="M16" s="54">
        <f>-M$13*Assumptions!$AD15</f>
        <v>-1862.742</v>
      </c>
      <c r="N16" s="54">
        <f>-N$13*Assumptions!$AD15</f>
        <v>-1862.742</v>
      </c>
      <c r="O16" s="54">
        <f>-O$13*Assumptions!$AD15</f>
        <v>-1862.742</v>
      </c>
      <c r="P16" s="54">
        <f>-P$13*Assumptions!$AD15</f>
        <v>-1918.62426</v>
      </c>
      <c r="Q16" s="54">
        <f>-Q$13*Assumptions!$AD15</f>
        <v>-1918.62426</v>
      </c>
      <c r="R16" s="54">
        <f>-R$13*Assumptions!$AD15</f>
        <v>-1918.62426</v>
      </c>
      <c r="S16" s="54">
        <f>-S$13*Assumptions!$AD15</f>
        <v>-1918.62426</v>
      </c>
      <c r="T16" s="54">
        <f>-T$13*Assumptions!$AD15</f>
        <v>-1918.62426</v>
      </c>
      <c r="U16" s="54">
        <f>-U$13*Assumptions!$AD15</f>
        <v>-1918.62426</v>
      </c>
      <c r="V16" s="54">
        <f>-V$13*Assumptions!$AD15</f>
        <v>-1918.62426</v>
      </c>
      <c r="W16" s="54">
        <f>-W$13*Assumptions!$AD15</f>
        <v>-1918.62426</v>
      </c>
      <c r="X16" s="54">
        <f>-X$13*Assumptions!$AD15</f>
        <v>-1918.62426</v>
      </c>
      <c r="Y16" s="54">
        <f>-Y$13*Assumptions!$AD15</f>
        <v>-1918.62426</v>
      </c>
      <c r="Z16" s="54">
        <f>-Z$13*Assumptions!$AD15</f>
        <v>-1918.62426</v>
      </c>
      <c r="AA16" s="54">
        <f>-AA$13*Assumptions!$AD15</f>
        <v>-1918.62426</v>
      </c>
      <c r="AB16" s="54">
        <f>-AB$13*Assumptions!$AD15</f>
        <v>-1976.182988</v>
      </c>
      <c r="AC16" s="54">
        <f>-AC$13*Assumptions!$AD15</f>
        <v>-1976.182988</v>
      </c>
      <c r="AD16" s="54">
        <f>-AD$13*Assumptions!$AD15</f>
        <v>-1976.182988</v>
      </c>
      <c r="AE16" s="54">
        <f>-AE$13*Assumptions!$AD15</f>
        <v>-1976.182988</v>
      </c>
      <c r="AF16" s="54">
        <f>-AF$13*Assumptions!$AD15</f>
        <v>-1976.182988</v>
      </c>
      <c r="AG16" s="54">
        <f>-AG$13*Assumptions!$AD15</f>
        <v>-1976.182988</v>
      </c>
      <c r="AH16" s="54">
        <f>-AH$13*Assumptions!$AD15</f>
        <v>-1976.182988</v>
      </c>
      <c r="AI16" s="54">
        <f>-AI$13*Assumptions!$AD15</f>
        <v>-1976.182988</v>
      </c>
      <c r="AJ16" s="54">
        <f>-AJ$13*Assumptions!$AD15</f>
        <v>-1976.182988</v>
      </c>
      <c r="AK16" s="54">
        <f>-AK$13*Assumptions!$AD15</f>
        <v>-1976.182988</v>
      </c>
      <c r="AL16" s="54">
        <f>-AL$13*Assumptions!$AD15</f>
        <v>-1976.182988</v>
      </c>
      <c r="AM16" s="54">
        <f>-AM$13*Assumptions!$AD15</f>
        <v>-1976.182988</v>
      </c>
      <c r="AN16" s="54">
        <f>-AN$13*Assumptions!$AD15</f>
        <v>-2035.468477</v>
      </c>
      <c r="AO16" s="54">
        <f>-AO$13*Assumptions!$AD15</f>
        <v>-2035.468477</v>
      </c>
      <c r="AP16" s="54">
        <f>-AP$13*Assumptions!$AD15</f>
        <v>-2035.468477</v>
      </c>
      <c r="AQ16" s="54">
        <f>-AQ$13*Assumptions!$AD15</f>
        <v>-2035.468477</v>
      </c>
      <c r="AR16" s="54">
        <f>-AR$13*Assumptions!$AD15</f>
        <v>-2035.468477</v>
      </c>
      <c r="AS16" s="54">
        <f>-AS$13*Assumptions!$AD15</f>
        <v>-2035.468477</v>
      </c>
      <c r="AT16" s="54">
        <f>-AT$13*Assumptions!$AD15</f>
        <v>-2035.468477</v>
      </c>
      <c r="AU16" s="54">
        <f>-AU$13*Assumptions!$AD15</f>
        <v>-2035.468477</v>
      </c>
      <c r="AV16" s="54">
        <f>-AV$13*Assumptions!$AD15</f>
        <v>-2035.468477</v>
      </c>
      <c r="AW16" s="54">
        <f>-AW$13*Assumptions!$AD15</f>
        <v>-2035.468477</v>
      </c>
      <c r="AX16" s="54">
        <f>-AX$13*Assumptions!$AD15</f>
        <v>-2035.468477</v>
      </c>
      <c r="AY16" s="54">
        <f>-AY$13*Assumptions!$AD15</f>
        <v>-2035.468477</v>
      </c>
      <c r="AZ16" s="54">
        <f>-AZ$13*Assumptions!$AD15</f>
        <v>-2096.532532</v>
      </c>
      <c r="BA16" s="54">
        <f>-BA$13*Assumptions!$AD15</f>
        <v>-2096.532532</v>
      </c>
      <c r="BB16" s="54">
        <f>-BB$13*Assumptions!$AD15</f>
        <v>-2096.532532</v>
      </c>
      <c r="BC16" s="54">
        <f>-BC$13*Assumptions!$AD15</f>
        <v>-2096.532532</v>
      </c>
      <c r="BD16" s="54">
        <f>-BD$13*Assumptions!$AD15</f>
        <v>-2096.532532</v>
      </c>
      <c r="BE16" s="54">
        <f>-BE$13*Assumptions!$AD15</f>
        <v>-2096.532532</v>
      </c>
      <c r="BF16" s="54">
        <f>-BF$13*Assumptions!$AD15</f>
        <v>-2096.532532</v>
      </c>
      <c r="BG16" s="54">
        <f>-BG$13*Assumptions!$AD15</f>
        <v>-2096.532532</v>
      </c>
      <c r="BH16" s="54">
        <f>-BH$13*Assumptions!$AD15</f>
        <v>-2096.532532</v>
      </c>
      <c r="BI16" s="54">
        <f>-BI$13*Assumptions!$AD15</f>
        <v>-2096.532532</v>
      </c>
      <c r="BJ16" s="54">
        <f>-BJ$13*Assumptions!$AD15</f>
        <v>-2096.532532</v>
      </c>
      <c r="BK16" s="54">
        <f>-BK$13*Assumptions!$AD15</f>
        <v>-2096.532532</v>
      </c>
      <c r="BL16" s="54">
        <f>-BL$13*Assumptions!$AD15</f>
        <v>-2159.428508</v>
      </c>
      <c r="BM16" s="54">
        <f>-BM$13*Assumptions!$AD15</f>
        <v>-2159.428508</v>
      </c>
      <c r="BN16" s="54">
        <f>-BN$13*Assumptions!$AD15</f>
        <v>-2159.428508</v>
      </c>
      <c r="BO16" s="54">
        <f>-BO$13*Assumptions!$AD15</f>
        <v>-2159.428508</v>
      </c>
      <c r="BP16" s="54">
        <f>-BP$13*Assumptions!$AD15</f>
        <v>-2159.428508</v>
      </c>
      <c r="BQ16" s="54">
        <f>-BQ$13*Assumptions!$AD15</f>
        <v>-2159.428508</v>
      </c>
      <c r="BR16" s="54">
        <f>-BR$13*Assumptions!$AD15</f>
        <v>-2159.428508</v>
      </c>
      <c r="BS16" s="54">
        <f>-BS$13*Assumptions!$AD15</f>
        <v>-2159.428508</v>
      </c>
      <c r="BT16" s="54">
        <f>-BT$13*Assumptions!$AD15</f>
        <v>-2159.428508</v>
      </c>
      <c r="BU16" s="54">
        <f>-BU$13*Assumptions!$AD15</f>
        <v>-2159.428508</v>
      </c>
      <c r="BV16" s="54">
        <f>-BV$13*Assumptions!$AD15</f>
        <v>-2159.428508</v>
      </c>
      <c r="BW16" s="54">
        <f>-BW$13*Assumptions!$AD15</f>
        <v>-2159.428508</v>
      </c>
      <c r="BX16" s="54">
        <f>-BX$13*Assumptions!$AD15</f>
        <v>-2224.211363</v>
      </c>
      <c r="BY16" s="54">
        <f>-BY$13*Assumptions!$AD15</f>
        <v>-2224.211363</v>
      </c>
      <c r="BZ16" s="54">
        <f>-BZ$13*Assumptions!$AD15</f>
        <v>-2224.211363</v>
      </c>
      <c r="CA16" s="54">
        <f>-CA$13*Assumptions!$AD15</f>
        <v>-2224.211363</v>
      </c>
      <c r="CB16" s="54">
        <f>-CB$13*Assumptions!$AD15</f>
        <v>-2224.211363</v>
      </c>
      <c r="CC16" s="54">
        <f>-CC$13*Assumptions!$AD15</f>
        <v>-2224.211363</v>
      </c>
      <c r="CD16" s="54">
        <f>-CD$13*Assumptions!$AD15</f>
        <v>-2224.211363</v>
      </c>
      <c r="CE16" s="54">
        <f>-CE$13*Assumptions!$AD15</f>
        <v>-2224.211363</v>
      </c>
      <c r="CF16" s="54">
        <f>-CF$13*Assumptions!$AD15</f>
        <v>-2224.211363</v>
      </c>
      <c r="CG16" s="54">
        <f>-CG$13*Assumptions!$AD15</f>
        <v>-2224.211363</v>
      </c>
      <c r="CH16" s="54">
        <f>-CH$13*Assumptions!$AD15</f>
        <v>-2224.211363</v>
      </c>
      <c r="CI16" s="54">
        <f>-CI$13*Assumptions!$AD15</f>
        <v>-2224.211363</v>
      </c>
      <c r="CJ16" s="54">
        <f>-CJ$13*Assumptions!$AD15</f>
        <v>-2290.937704</v>
      </c>
      <c r="CK16" s="54">
        <f>-CK$13*Assumptions!$AD15</f>
        <v>-2290.937704</v>
      </c>
      <c r="CL16" s="54">
        <f>-CL$13*Assumptions!$AD15</f>
        <v>-2290.937704</v>
      </c>
      <c r="CM16" s="54">
        <f>-CM$13*Assumptions!$AD15</f>
        <v>-2290.937704</v>
      </c>
      <c r="CN16" s="54">
        <f>-CN$13*Assumptions!$AD15</f>
        <v>-2290.937704</v>
      </c>
      <c r="CO16" s="54">
        <f>-CO$13*Assumptions!$AD15</f>
        <v>-2290.937704</v>
      </c>
      <c r="CP16" s="54">
        <f>-CP$13*Assumptions!$AD15</f>
        <v>-2290.937704</v>
      </c>
      <c r="CQ16" s="54">
        <f>-CQ$13*Assumptions!$AD15</f>
        <v>-2290.937704</v>
      </c>
      <c r="CR16" s="54">
        <f>-CR$13*Assumptions!$AD15</f>
        <v>-2290.937704</v>
      </c>
      <c r="CS16" s="54">
        <f>-CS$13*Assumptions!$AD15</f>
        <v>-2290.937704</v>
      </c>
      <c r="CT16" s="54">
        <f>-CT$13*Assumptions!$AD15</f>
        <v>-2290.937704</v>
      </c>
      <c r="CU16" s="54">
        <f>-CU$13*Assumptions!$AD15</f>
        <v>-2290.937704</v>
      </c>
      <c r="CV16" s="54">
        <f>-CV$13*Assumptions!$AD15</f>
        <v>-2359.665835</v>
      </c>
      <c r="CW16" s="54">
        <f>-CW$13*Assumptions!$AD15</f>
        <v>-2359.665835</v>
      </c>
      <c r="CX16" s="54">
        <f>-CX$13*Assumptions!$AD15</f>
        <v>-2359.665835</v>
      </c>
      <c r="CY16" s="54">
        <f>-CY$13*Assumptions!$AD15</f>
        <v>-2359.665835</v>
      </c>
      <c r="CZ16" s="54">
        <f>-CZ$13*Assumptions!$AD15</f>
        <v>-2359.665835</v>
      </c>
      <c r="DA16" s="54">
        <f>-DA$13*Assumptions!$AD15</f>
        <v>-2359.665835</v>
      </c>
      <c r="DB16" s="54">
        <f>-DB$13*Assumptions!$AD15</f>
        <v>-2359.665835</v>
      </c>
      <c r="DC16" s="54">
        <f>-DC$13*Assumptions!$AD15</f>
        <v>-2359.665835</v>
      </c>
      <c r="DD16" s="54">
        <f>-DD$13*Assumptions!$AD15</f>
        <v>-2359.665835</v>
      </c>
      <c r="DE16" s="54">
        <f>-DE$13*Assumptions!$AD15</f>
        <v>-2359.665835</v>
      </c>
      <c r="DF16" s="54">
        <f>-DF$13*Assumptions!$AD15</f>
        <v>-2359.665835</v>
      </c>
      <c r="DG16" s="54">
        <f>-DG$13*Assumptions!$AD15</f>
        <v>-2359.665835</v>
      </c>
      <c r="DH16" s="54">
        <f>-DH$13*Assumptions!$AD15</f>
        <v>-2430.45581</v>
      </c>
      <c r="DI16" s="54">
        <f>-DI$13*Assumptions!$AD15</f>
        <v>-2430.45581</v>
      </c>
      <c r="DJ16" s="54">
        <f>-DJ$13*Assumptions!$AD15</f>
        <v>-2430.45581</v>
      </c>
      <c r="DK16" s="54">
        <f>-DK$13*Assumptions!$AD15</f>
        <v>-2430.45581</v>
      </c>
      <c r="DL16" s="54">
        <f>-DL$13*Assumptions!$AD15</f>
        <v>-2430.45581</v>
      </c>
      <c r="DM16" s="54">
        <f>-DM$13*Assumptions!$AD15</f>
        <v>-2430.45581</v>
      </c>
      <c r="DN16" s="54">
        <f>-DN$13*Assumptions!$AD15</f>
        <v>-2430.45581</v>
      </c>
      <c r="DO16" s="54">
        <f>-DO$13*Assumptions!$AD15</f>
        <v>-2430.45581</v>
      </c>
      <c r="DP16" s="54">
        <f>-DP$13*Assumptions!$AD15</f>
        <v>-2430.45581</v>
      </c>
      <c r="DQ16" s="54">
        <f>-DQ$13*Assumptions!$AD15</f>
        <v>-2430.45581</v>
      </c>
      <c r="DR16" s="54">
        <f>-DR$13*Assumptions!$AD15</f>
        <v>-2430.45581</v>
      </c>
      <c r="DS16" s="54">
        <f>-DS$13*Assumptions!$AD15</f>
        <v>-2430.45581</v>
      </c>
      <c r="DT16" s="54">
        <f>-DT$13*Assumptions!$AD15</f>
        <v>-2503.369484</v>
      </c>
      <c r="DU16" s="54">
        <f>-DU$13*Assumptions!$AD15</f>
        <v>-2503.369484</v>
      </c>
      <c r="DV16" s="54">
        <f>-DV$13*Assumptions!$AD15</f>
        <v>-2503.369484</v>
      </c>
      <c r="DW16" s="54">
        <f>-DW$13*Assumptions!$AD15</f>
        <v>-2503.369484</v>
      </c>
      <c r="DX16" s="54">
        <f>-DX$13*Assumptions!$AD15</f>
        <v>-2503.369484</v>
      </c>
      <c r="DY16" s="54">
        <f>-DY$13*Assumptions!$AD15</f>
        <v>-2503.369484</v>
      </c>
      <c r="DZ16" s="54">
        <f>-DZ$13*Assumptions!$AD15</f>
        <v>-2503.369484</v>
      </c>
      <c r="EA16" s="54">
        <f>-EA$13*Assumptions!$AD15</f>
        <v>-2503.369484</v>
      </c>
      <c r="EB16" s="54">
        <f>-EB$13*Assumptions!$AD15</f>
        <v>-2503.369484</v>
      </c>
      <c r="EC16" s="54">
        <f>-EC$13*Assumptions!$AD15</f>
        <v>-2503.369484</v>
      </c>
      <c r="ED16" s="54">
        <f>-ED$13*Assumptions!$AD15</f>
        <v>-2503.369484</v>
      </c>
      <c r="EE16" s="54">
        <f>-EE$13*Assumptions!$AD15</f>
        <v>-2503.369484</v>
      </c>
    </row>
    <row r="17" ht="15.75" customHeight="1">
      <c r="A17" s="1"/>
      <c r="B17" s="1"/>
      <c r="C17" s="1" t="str">
        <f>Assumptions!J16</f>
        <v>Concession</v>
      </c>
      <c r="D17" s="54">
        <f>-D$13*Assumptions!$AD16</f>
        <v>-1862.742</v>
      </c>
      <c r="E17" s="54">
        <f>-E$13*Assumptions!$AD16</f>
        <v>-1862.742</v>
      </c>
      <c r="F17" s="54">
        <f>-F$13*Assumptions!$AD16</f>
        <v>-1862.742</v>
      </c>
      <c r="G17" s="54">
        <f>-G$13*Assumptions!$AD16</f>
        <v>-1862.742</v>
      </c>
      <c r="H17" s="54">
        <f>-H$13*Assumptions!$AD16</f>
        <v>-1862.742</v>
      </c>
      <c r="I17" s="54">
        <f>-I$13*Assumptions!$AD16</f>
        <v>-1862.742</v>
      </c>
      <c r="J17" s="54">
        <f>-J$13*Assumptions!$AD16</f>
        <v>-1862.742</v>
      </c>
      <c r="K17" s="54">
        <f>-K$13*Assumptions!$AD16</f>
        <v>-1862.742</v>
      </c>
      <c r="L17" s="54">
        <f>-L$13*Assumptions!$AD16</f>
        <v>-1862.742</v>
      </c>
      <c r="M17" s="54">
        <f>-M$13*Assumptions!$AD16</f>
        <v>-1862.742</v>
      </c>
      <c r="N17" s="54">
        <f>-N$13*Assumptions!$AD16</f>
        <v>-1862.742</v>
      </c>
      <c r="O17" s="54">
        <f>-O$13*Assumptions!$AD16</f>
        <v>-1862.742</v>
      </c>
      <c r="P17" s="54">
        <f>-P$13*Assumptions!$AD16</f>
        <v>-1918.62426</v>
      </c>
      <c r="Q17" s="54">
        <f>-Q$13*Assumptions!$AD16</f>
        <v>-1918.62426</v>
      </c>
      <c r="R17" s="54">
        <f>-R$13*Assumptions!$AD16</f>
        <v>-1918.62426</v>
      </c>
      <c r="S17" s="54">
        <f>-S$13*Assumptions!$AD16</f>
        <v>-1918.62426</v>
      </c>
      <c r="T17" s="54">
        <f>-T$13*Assumptions!$AD16</f>
        <v>-1918.62426</v>
      </c>
      <c r="U17" s="54">
        <f>-U$13*Assumptions!$AD16</f>
        <v>-1918.62426</v>
      </c>
      <c r="V17" s="54">
        <f>-V$13*Assumptions!$AD16</f>
        <v>-1918.62426</v>
      </c>
      <c r="W17" s="54">
        <f>-W$13*Assumptions!$AD16</f>
        <v>-1918.62426</v>
      </c>
      <c r="X17" s="54">
        <f>-X$13*Assumptions!$AD16</f>
        <v>-1918.62426</v>
      </c>
      <c r="Y17" s="54">
        <f>-Y$13*Assumptions!$AD16</f>
        <v>-1918.62426</v>
      </c>
      <c r="Z17" s="54">
        <f>-Z$13*Assumptions!$AD16</f>
        <v>-1918.62426</v>
      </c>
      <c r="AA17" s="54">
        <f>-AA$13*Assumptions!$AD16</f>
        <v>-1918.62426</v>
      </c>
      <c r="AB17" s="54">
        <f>-AB$13*Assumptions!$AD16</f>
        <v>-1976.182988</v>
      </c>
      <c r="AC17" s="54">
        <f>-AC$13*Assumptions!$AD16</f>
        <v>-1976.182988</v>
      </c>
      <c r="AD17" s="54">
        <f>-AD$13*Assumptions!$AD16</f>
        <v>-1976.182988</v>
      </c>
      <c r="AE17" s="54">
        <f>-AE$13*Assumptions!$AD16</f>
        <v>-1976.182988</v>
      </c>
      <c r="AF17" s="54">
        <f>-AF$13*Assumptions!$AD16</f>
        <v>-1976.182988</v>
      </c>
      <c r="AG17" s="54">
        <f>-AG$13*Assumptions!$AD16</f>
        <v>-1976.182988</v>
      </c>
      <c r="AH17" s="54">
        <f>-AH$13*Assumptions!$AD16</f>
        <v>-1976.182988</v>
      </c>
      <c r="AI17" s="54">
        <f>-AI$13*Assumptions!$AD16</f>
        <v>-1976.182988</v>
      </c>
      <c r="AJ17" s="54">
        <f>-AJ$13*Assumptions!$AD16</f>
        <v>-1976.182988</v>
      </c>
      <c r="AK17" s="54">
        <f>-AK$13*Assumptions!$AD16</f>
        <v>-1976.182988</v>
      </c>
      <c r="AL17" s="54">
        <f>-AL$13*Assumptions!$AD16</f>
        <v>-1976.182988</v>
      </c>
      <c r="AM17" s="54">
        <f>-AM$13*Assumptions!$AD16</f>
        <v>-1976.182988</v>
      </c>
      <c r="AN17" s="54">
        <f>-AN$13*Assumptions!$AD16</f>
        <v>-2035.468477</v>
      </c>
      <c r="AO17" s="54">
        <f>-AO$13*Assumptions!$AD16</f>
        <v>-2035.468477</v>
      </c>
      <c r="AP17" s="54">
        <f>-AP$13*Assumptions!$AD16</f>
        <v>-2035.468477</v>
      </c>
      <c r="AQ17" s="54">
        <f>-AQ$13*Assumptions!$AD16</f>
        <v>-2035.468477</v>
      </c>
      <c r="AR17" s="54">
        <f>-AR$13*Assumptions!$AD16</f>
        <v>-2035.468477</v>
      </c>
      <c r="AS17" s="54">
        <f>-AS$13*Assumptions!$AD16</f>
        <v>-2035.468477</v>
      </c>
      <c r="AT17" s="54">
        <f>-AT$13*Assumptions!$AD16</f>
        <v>-2035.468477</v>
      </c>
      <c r="AU17" s="54">
        <f>-AU$13*Assumptions!$AD16</f>
        <v>-2035.468477</v>
      </c>
      <c r="AV17" s="54">
        <f>-AV$13*Assumptions!$AD16</f>
        <v>-2035.468477</v>
      </c>
      <c r="AW17" s="54">
        <f>-AW$13*Assumptions!$AD16</f>
        <v>-2035.468477</v>
      </c>
      <c r="AX17" s="54">
        <f>-AX$13*Assumptions!$AD16</f>
        <v>-2035.468477</v>
      </c>
      <c r="AY17" s="54">
        <f>-AY$13*Assumptions!$AD16</f>
        <v>-2035.468477</v>
      </c>
      <c r="AZ17" s="54">
        <f>-AZ$13*Assumptions!$AD16</f>
        <v>-2096.532532</v>
      </c>
      <c r="BA17" s="54">
        <f>-BA$13*Assumptions!$AD16</f>
        <v>-2096.532532</v>
      </c>
      <c r="BB17" s="54">
        <f>-BB$13*Assumptions!$AD16</f>
        <v>-2096.532532</v>
      </c>
      <c r="BC17" s="54">
        <f>-BC$13*Assumptions!$AD16</f>
        <v>-2096.532532</v>
      </c>
      <c r="BD17" s="54">
        <f>-BD$13*Assumptions!$AD16</f>
        <v>-2096.532532</v>
      </c>
      <c r="BE17" s="54">
        <f>-BE$13*Assumptions!$AD16</f>
        <v>-2096.532532</v>
      </c>
      <c r="BF17" s="54">
        <f>-BF$13*Assumptions!$AD16</f>
        <v>-2096.532532</v>
      </c>
      <c r="BG17" s="54">
        <f>-BG$13*Assumptions!$AD16</f>
        <v>-2096.532532</v>
      </c>
      <c r="BH17" s="54">
        <f>-BH$13*Assumptions!$AD16</f>
        <v>-2096.532532</v>
      </c>
      <c r="BI17" s="54">
        <f>-BI$13*Assumptions!$AD16</f>
        <v>-2096.532532</v>
      </c>
      <c r="BJ17" s="54">
        <f>-BJ$13*Assumptions!$AD16</f>
        <v>-2096.532532</v>
      </c>
      <c r="BK17" s="54">
        <f>-BK$13*Assumptions!$AD16</f>
        <v>-2096.532532</v>
      </c>
      <c r="BL17" s="54">
        <f>-BL$13*Assumptions!$AD16</f>
        <v>-2159.428508</v>
      </c>
      <c r="BM17" s="54">
        <f>-BM$13*Assumptions!$AD16</f>
        <v>-2159.428508</v>
      </c>
      <c r="BN17" s="54">
        <f>-BN$13*Assumptions!$AD16</f>
        <v>-2159.428508</v>
      </c>
      <c r="BO17" s="54">
        <f>-BO$13*Assumptions!$AD16</f>
        <v>-2159.428508</v>
      </c>
      <c r="BP17" s="54">
        <f>-BP$13*Assumptions!$AD16</f>
        <v>-2159.428508</v>
      </c>
      <c r="BQ17" s="54">
        <f>-BQ$13*Assumptions!$AD16</f>
        <v>-2159.428508</v>
      </c>
      <c r="BR17" s="54">
        <f>-BR$13*Assumptions!$AD16</f>
        <v>-2159.428508</v>
      </c>
      <c r="BS17" s="54">
        <f>-BS$13*Assumptions!$AD16</f>
        <v>-2159.428508</v>
      </c>
      <c r="BT17" s="54">
        <f>-BT$13*Assumptions!$AD16</f>
        <v>-2159.428508</v>
      </c>
      <c r="BU17" s="54">
        <f>-BU$13*Assumptions!$AD16</f>
        <v>-2159.428508</v>
      </c>
      <c r="BV17" s="54">
        <f>-BV$13*Assumptions!$AD16</f>
        <v>-2159.428508</v>
      </c>
      <c r="BW17" s="54">
        <f>-BW$13*Assumptions!$AD16</f>
        <v>-2159.428508</v>
      </c>
      <c r="BX17" s="54">
        <f>-BX$13*Assumptions!$AD16</f>
        <v>-2224.211363</v>
      </c>
      <c r="BY17" s="54">
        <f>-BY$13*Assumptions!$AD16</f>
        <v>-2224.211363</v>
      </c>
      <c r="BZ17" s="54">
        <f>-BZ$13*Assumptions!$AD16</f>
        <v>-2224.211363</v>
      </c>
      <c r="CA17" s="54">
        <f>-CA$13*Assumptions!$AD16</f>
        <v>-2224.211363</v>
      </c>
      <c r="CB17" s="54">
        <f>-CB$13*Assumptions!$AD16</f>
        <v>-2224.211363</v>
      </c>
      <c r="CC17" s="54">
        <f>-CC$13*Assumptions!$AD16</f>
        <v>-2224.211363</v>
      </c>
      <c r="CD17" s="54">
        <f>-CD$13*Assumptions!$AD16</f>
        <v>-2224.211363</v>
      </c>
      <c r="CE17" s="54">
        <f>-CE$13*Assumptions!$AD16</f>
        <v>-2224.211363</v>
      </c>
      <c r="CF17" s="54">
        <f>-CF$13*Assumptions!$AD16</f>
        <v>-2224.211363</v>
      </c>
      <c r="CG17" s="54">
        <f>-CG$13*Assumptions!$AD16</f>
        <v>-2224.211363</v>
      </c>
      <c r="CH17" s="54">
        <f>-CH$13*Assumptions!$AD16</f>
        <v>-2224.211363</v>
      </c>
      <c r="CI17" s="54">
        <f>-CI$13*Assumptions!$AD16</f>
        <v>-2224.211363</v>
      </c>
      <c r="CJ17" s="54">
        <f>-CJ$13*Assumptions!$AD16</f>
        <v>-2290.937704</v>
      </c>
      <c r="CK17" s="54">
        <f>-CK$13*Assumptions!$AD16</f>
        <v>-2290.937704</v>
      </c>
      <c r="CL17" s="54">
        <f>-CL$13*Assumptions!$AD16</f>
        <v>-2290.937704</v>
      </c>
      <c r="CM17" s="54">
        <f>-CM$13*Assumptions!$AD16</f>
        <v>-2290.937704</v>
      </c>
      <c r="CN17" s="54">
        <f>-CN$13*Assumptions!$AD16</f>
        <v>-2290.937704</v>
      </c>
      <c r="CO17" s="54">
        <f>-CO$13*Assumptions!$AD16</f>
        <v>-2290.937704</v>
      </c>
      <c r="CP17" s="54">
        <f>-CP$13*Assumptions!$AD16</f>
        <v>-2290.937704</v>
      </c>
      <c r="CQ17" s="54">
        <f>-CQ$13*Assumptions!$AD16</f>
        <v>-2290.937704</v>
      </c>
      <c r="CR17" s="54">
        <f>-CR$13*Assumptions!$AD16</f>
        <v>-2290.937704</v>
      </c>
      <c r="CS17" s="54">
        <f>-CS$13*Assumptions!$AD16</f>
        <v>-2290.937704</v>
      </c>
      <c r="CT17" s="54">
        <f>-CT$13*Assumptions!$AD16</f>
        <v>-2290.937704</v>
      </c>
      <c r="CU17" s="54">
        <f>-CU$13*Assumptions!$AD16</f>
        <v>-2290.937704</v>
      </c>
      <c r="CV17" s="54">
        <f>-CV$13*Assumptions!$AD16</f>
        <v>-2359.665835</v>
      </c>
      <c r="CW17" s="54">
        <f>-CW$13*Assumptions!$AD16</f>
        <v>-2359.665835</v>
      </c>
      <c r="CX17" s="54">
        <f>-CX$13*Assumptions!$AD16</f>
        <v>-2359.665835</v>
      </c>
      <c r="CY17" s="54">
        <f>-CY$13*Assumptions!$AD16</f>
        <v>-2359.665835</v>
      </c>
      <c r="CZ17" s="54">
        <f>-CZ$13*Assumptions!$AD16</f>
        <v>-2359.665835</v>
      </c>
      <c r="DA17" s="54">
        <f>-DA$13*Assumptions!$AD16</f>
        <v>-2359.665835</v>
      </c>
      <c r="DB17" s="54">
        <f>-DB$13*Assumptions!$AD16</f>
        <v>-2359.665835</v>
      </c>
      <c r="DC17" s="54">
        <f>-DC$13*Assumptions!$AD16</f>
        <v>-2359.665835</v>
      </c>
      <c r="DD17" s="54">
        <f>-DD$13*Assumptions!$AD16</f>
        <v>-2359.665835</v>
      </c>
      <c r="DE17" s="54">
        <f>-DE$13*Assumptions!$AD16</f>
        <v>-2359.665835</v>
      </c>
      <c r="DF17" s="54">
        <f>-DF$13*Assumptions!$AD16</f>
        <v>-2359.665835</v>
      </c>
      <c r="DG17" s="54">
        <f>-DG$13*Assumptions!$AD16</f>
        <v>-2359.665835</v>
      </c>
      <c r="DH17" s="54">
        <f>-DH$13*Assumptions!$AD16</f>
        <v>-2430.45581</v>
      </c>
      <c r="DI17" s="54">
        <f>-DI$13*Assumptions!$AD16</f>
        <v>-2430.45581</v>
      </c>
      <c r="DJ17" s="54">
        <f>-DJ$13*Assumptions!$AD16</f>
        <v>-2430.45581</v>
      </c>
      <c r="DK17" s="54">
        <f>-DK$13*Assumptions!$AD16</f>
        <v>-2430.45581</v>
      </c>
      <c r="DL17" s="54">
        <f>-DL$13*Assumptions!$AD16</f>
        <v>-2430.45581</v>
      </c>
      <c r="DM17" s="54">
        <f>-DM$13*Assumptions!$AD16</f>
        <v>-2430.45581</v>
      </c>
      <c r="DN17" s="54">
        <f>-DN$13*Assumptions!$AD16</f>
        <v>-2430.45581</v>
      </c>
      <c r="DO17" s="54">
        <f>-DO$13*Assumptions!$AD16</f>
        <v>-2430.45581</v>
      </c>
      <c r="DP17" s="54">
        <f>-DP$13*Assumptions!$AD16</f>
        <v>-2430.45581</v>
      </c>
      <c r="DQ17" s="54">
        <f>-DQ$13*Assumptions!$AD16</f>
        <v>-2430.45581</v>
      </c>
      <c r="DR17" s="54">
        <f>-DR$13*Assumptions!$AD16</f>
        <v>-2430.45581</v>
      </c>
      <c r="DS17" s="54">
        <f>-DS$13*Assumptions!$AD16</f>
        <v>-2430.45581</v>
      </c>
      <c r="DT17" s="54">
        <f>-DT$13*Assumptions!$AD16</f>
        <v>-2503.369484</v>
      </c>
      <c r="DU17" s="54">
        <f>-DU$13*Assumptions!$AD16</f>
        <v>-2503.369484</v>
      </c>
      <c r="DV17" s="54">
        <f>-DV$13*Assumptions!$AD16</f>
        <v>-2503.369484</v>
      </c>
      <c r="DW17" s="54">
        <f>-DW$13*Assumptions!$AD16</f>
        <v>-2503.369484</v>
      </c>
      <c r="DX17" s="54">
        <f>-DX$13*Assumptions!$AD16</f>
        <v>-2503.369484</v>
      </c>
      <c r="DY17" s="54">
        <f>-DY$13*Assumptions!$AD16</f>
        <v>-2503.369484</v>
      </c>
      <c r="DZ17" s="54">
        <f>-DZ$13*Assumptions!$AD16</f>
        <v>-2503.369484</v>
      </c>
      <c r="EA17" s="54">
        <f>-EA$13*Assumptions!$AD16</f>
        <v>-2503.369484</v>
      </c>
      <c r="EB17" s="54">
        <f>-EB$13*Assumptions!$AD16</f>
        <v>-2503.369484</v>
      </c>
      <c r="EC17" s="54">
        <f>-EC$13*Assumptions!$AD16</f>
        <v>-2503.369484</v>
      </c>
      <c r="ED17" s="54">
        <f>-ED$13*Assumptions!$AD16</f>
        <v>-2503.369484</v>
      </c>
      <c r="EE17" s="54">
        <f>-EE$13*Assumptions!$AD16</f>
        <v>-2503.369484</v>
      </c>
    </row>
    <row r="18" ht="15.75" customHeight="1">
      <c r="A18" s="1"/>
      <c r="B18" s="6"/>
      <c r="C18" s="63" t="s">
        <v>63</v>
      </c>
      <c r="D18" s="207">
        <f t="shared" ref="D18:EE18" si="4">D13+D15+D16+D17</f>
        <v>173235.006</v>
      </c>
      <c r="E18" s="207">
        <f t="shared" si="4"/>
        <v>173235.006</v>
      </c>
      <c r="F18" s="207">
        <f t="shared" si="4"/>
        <v>173235.006</v>
      </c>
      <c r="G18" s="207">
        <f t="shared" si="4"/>
        <v>173235.006</v>
      </c>
      <c r="H18" s="207">
        <f t="shared" si="4"/>
        <v>173235.006</v>
      </c>
      <c r="I18" s="207">
        <f t="shared" si="4"/>
        <v>173235.006</v>
      </c>
      <c r="J18" s="207">
        <f t="shared" si="4"/>
        <v>173235.006</v>
      </c>
      <c r="K18" s="207">
        <f t="shared" si="4"/>
        <v>173235.006</v>
      </c>
      <c r="L18" s="207">
        <f t="shared" si="4"/>
        <v>173235.006</v>
      </c>
      <c r="M18" s="207">
        <f t="shared" si="4"/>
        <v>173235.006</v>
      </c>
      <c r="N18" s="207">
        <f t="shared" si="4"/>
        <v>173235.006</v>
      </c>
      <c r="O18" s="207">
        <f t="shared" si="4"/>
        <v>173235.006</v>
      </c>
      <c r="P18" s="207">
        <f t="shared" si="4"/>
        <v>184187.929</v>
      </c>
      <c r="Q18" s="207">
        <f t="shared" si="4"/>
        <v>184187.929</v>
      </c>
      <c r="R18" s="207">
        <f t="shared" si="4"/>
        <v>184187.929</v>
      </c>
      <c r="S18" s="207">
        <f t="shared" si="4"/>
        <v>184187.929</v>
      </c>
      <c r="T18" s="207">
        <f t="shared" si="4"/>
        <v>184187.929</v>
      </c>
      <c r="U18" s="207">
        <f t="shared" si="4"/>
        <v>184187.929</v>
      </c>
      <c r="V18" s="207">
        <f t="shared" si="4"/>
        <v>184187.929</v>
      </c>
      <c r="W18" s="207">
        <f t="shared" si="4"/>
        <v>184187.929</v>
      </c>
      <c r="X18" s="207">
        <f t="shared" si="4"/>
        <v>184187.929</v>
      </c>
      <c r="Y18" s="207">
        <f t="shared" si="4"/>
        <v>184187.929</v>
      </c>
      <c r="Z18" s="207">
        <f t="shared" si="4"/>
        <v>184187.929</v>
      </c>
      <c r="AA18" s="207">
        <f t="shared" si="4"/>
        <v>184187.929</v>
      </c>
      <c r="AB18" s="207">
        <f t="shared" si="4"/>
        <v>189713.5668</v>
      </c>
      <c r="AC18" s="207">
        <f t="shared" si="4"/>
        <v>189713.5668</v>
      </c>
      <c r="AD18" s="207">
        <f t="shared" si="4"/>
        <v>189713.5668</v>
      </c>
      <c r="AE18" s="207">
        <f t="shared" si="4"/>
        <v>189713.5668</v>
      </c>
      <c r="AF18" s="207">
        <f t="shared" si="4"/>
        <v>189713.5668</v>
      </c>
      <c r="AG18" s="207">
        <f t="shared" si="4"/>
        <v>189713.5668</v>
      </c>
      <c r="AH18" s="207">
        <f t="shared" si="4"/>
        <v>189713.5668</v>
      </c>
      <c r="AI18" s="207">
        <f t="shared" si="4"/>
        <v>189713.5668</v>
      </c>
      <c r="AJ18" s="207">
        <f t="shared" si="4"/>
        <v>189713.5668</v>
      </c>
      <c r="AK18" s="207">
        <f t="shared" si="4"/>
        <v>189713.5668</v>
      </c>
      <c r="AL18" s="207">
        <f t="shared" si="4"/>
        <v>189713.5668</v>
      </c>
      <c r="AM18" s="207">
        <f t="shared" si="4"/>
        <v>189713.5668</v>
      </c>
      <c r="AN18" s="207">
        <f t="shared" si="4"/>
        <v>195404.9738</v>
      </c>
      <c r="AO18" s="207">
        <f t="shared" si="4"/>
        <v>195404.9738</v>
      </c>
      <c r="AP18" s="207">
        <f t="shared" si="4"/>
        <v>195404.9738</v>
      </c>
      <c r="AQ18" s="207">
        <f t="shared" si="4"/>
        <v>195404.9738</v>
      </c>
      <c r="AR18" s="207">
        <f t="shared" si="4"/>
        <v>195404.9738</v>
      </c>
      <c r="AS18" s="207">
        <f t="shared" si="4"/>
        <v>195404.9738</v>
      </c>
      <c r="AT18" s="207">
        <f t="shared" si="4"/>
        <v>195404.9738</v>
      </c>
      <c r="AU18" s="207">
        <f t="shared" si="4"/>
        <v>195404.9738</v>
      </c>
      <c r="AV18" s="207">
        <f t="shared" si="4"/>
        <v>195404.9738</v>
      </c>
      <c r="AW18" s="207">
        <f t="shared" si="4"/>
        <v>195404.9738</v>
      </c>
      <c r="AX18" s="207">
        <f t="shared" si="4"/>
        <v>195404.9738</v>
      </c>
      <c r="AY18" s="207">
        <f t="shared" si="4"/>
        <v>195404.9738</v>
      </c>
      <c r="AZ18" s="207">
        <f t="shared" si="4"/>
        <v>201267.123</v>
      </c>
      <c r="BA18" s="207">
        <f t="shared" si="4"/>
        <v>201267.123</v>
      </c>
      <c r="BB18" s="207">
        <f t="shared" si="4"/>
        <v>201267.123</v>
      </c>
      <c r="BC18" s="207">
        <f t="shared" si="4"/>
        <v>201267.123</v>
      </c>
      <c r="BD18" s="207">
        <f t="shared" si="4"/>
        <v>201267.123</v>
      </c>
      <c r="BE18" s="207">
        <f t="shared" si="4"/>
        <v>201267.123</v>
      </c>
      <c r="BF18" s="207">
        <f t="shared" si="4"/>
        <v>201267.123</v>
      </c>
      <c r="BG18" s="207">
        <f t="shared" si="4"/>
        <v>201267.123</v>
      </c>
      <c r="BH18" s="207">
        <f t="shared" si="4"/>
        <v>201267.123</v>
      </c>
      <c r="BI18" s="207">
        <f t="shared" si="4"/>
        <v>201267.123</v>
      </c>
      <c r="BJ18" s="207">
        <f t="shared" si="4"/>
        <v>201267.123</v>
      </c>
      <c r="BK18" s="207">
        <f t="shared" si="4"/>
        <v>201267.123</v>
      </c>
      <c r="BL18" s="207">
        <f t="shared" si="4"/>
        <v>207305.1367</v>
      </c>
      <c r="BM18" s="207">
        <f t="shared" si="4"/>
        <v>207305.1367</v>
      </c>
      <c r="BN18" s="207">
        <f t="shared" si="4"/>
        <v>207305.1367</v>
      </c>
      <c r="BO18" s="207">
        <f t="shared" si="4"/>
        <v>207305.1367</v>
      </c>
      <c r="BP18" s="207">
        <f t="shared" si="4"/>
        <v>207305.1367</v>
      </c>
      <c r="BQ18" s="207">
        <f t="shared" si="4"/>
        <v>207305.1367</v>
      </c>
      <c r="BR18" s="207">
        <f t="shared" si="4"/>
        <v>207305.1367</v>
      </c>
      <c r="BS18" s="207">
        <f t="shared" si="4"/>
        <v>207305.1367</v>
      </c>
      <c r="BT18" s="207">
        <f t="shared" si="4"/>
        <v>207305.1367</v>
      </c>
      <c r="BU18" s="207">
        <f t="shared" si="4"/>
        <v>207305.1367</v>
      </c>
      <c r="BV18" s="207">
        <f t="shared" si="4"/>
        <v>207305.1367</v>
      </c>
      <c r="BW18" s="207">
        <f t="shared" si="4"/>
        <v>207305.1367</v>
      </c>
      <c r="BX18" s="207">
        <f t="shared" si="4"/>
        <v>213524.2908</v>
      </c>
      <c r="BY18" s="207">
        <f t="shared" si="4"/>
        <v>213524.2908</v>
      </c>
      <c r="BZ18" s="207">
        <f t="shared" si="4"/>
        <v>213524.2908</v>
      </c>
      <c r="CA18" s="207">
        <f t="shared" si="4"/>
        <v>213524.2908</v>
      </c>
      <c r="CB18" s="207">
        <f t="shared" si="4"/>
        <v>213524.2908</v>
      </c>
      <c r="CC18" s="207">
        <f t="shared" si="4"/>
        <v>213524.2908</v>
      </c>
      <c r="CD18" s="207">
        <f t="shared" si="4"/>
        <v>213524.2908</v>
      </c>
      <c r="CE18" s="207">
        <f t="shared" si="4"/>
        <v>213524.2908</v>
      </c>
      <c r="CF18" s="207">
        <f t="shared" si="4"/>
        <v>213524.2908</v>
      </c>
      <c r="CG18" s="207">
        <f t="shared" si="4"/>
        <v>213524.2908</v>
      </c>
      <c r="CH18" s="207">
        <f t="shared" si="4"/>
        <v>213524.2908</v>
      </c>
      <c r="CI18" s="207">
        <f t="shared" si="4"/>
        <v>213524.2908</v>
      </c>
      <c r="CJ18" s="207">
        <f t="shared" si="4"/>
        <v>219930.0196</v>
      </c>
      <c r="CK18" s="207">
        <f t="shared" si="4"/>
        <v>219930.0196</v>
      </c>
      <c r="CL18" s="207">
        <f t="shared" si="4"/>
        <v>219930.0196</v>
      </c>
      <c r="CM18" s="207">
        <f t="shared" si="4"/>
        <v>219930.0196</v>
      </c>
      <c r="CN18" s="207">
        <f t="shared" si="4"/>
        <v>219930.0196</v>
      </c>
      <c r="CO18" s="207">
        <f t="shared" si="4"/>
        <v>219930.0196</v>
      </c>
      <c r="CP18" s="207">
        <f t="shared" si="4"/>
        <v>219930.0196</v>
      </c>
      <c r="CQ18" s="207">
        <f t="shared" si="4"/>
        <v>219930.0196</v>
      </c>
      <c r="CR18" s="207">
        <f t="shared" si="4"/>
        <v>219930.0196</v>
      </c>
      <c r="CS18" s="207">
        <f t="shared" si="4"/>
        <v>219930.0196</v>
      </c>
      <c r="CT18" s="207">
        <f t="shared" si="4"/>
        <v>219930.0196</v>
      </c>
      <c r="CU18" s="207">
        <f t="shared" si="4"/>
        <v>219930.0196</v>
      </c>
      <c r="CV18" s="207">
        <f t="shared" si="4"/>
        <v>226527.9202</v>
      </c>
      <c r="CW18" s="207">
        <f t="shared" si="4"/>
        <v>226527.9202</v>
      </c>
      <c r="CX18" s="207">
        <f t="shared" si="4"/>
        <v>226527.9202</v>
      </c>
      <c r="CY18" s="207">
        <f t="shared" si="4"/>
        <v>226527.9202</v>
      </c>
      <c r="CZ18" s="207">
        <f t="shared" si="4"/>
        <v>226527.9202</v>
      </c>
      <c r="DA18" s="207">
        <f t="shared" si="4"/>
        <v>226527.9202</v>
      </c>
      <c r="DB18" s="207">
        <f t="shared" si="4"/>
        <v>226527.9202</v>
      </c>
      <c r="DC18" s="207">
        <f t="shared" si="4"/>
        <v>226527.9202</v>
      </c>
      <c r="DD18" s="207">
        <f t="shared" si="4"/>
        <v>226527.9202</v>
      </c>
      <c r="DE18" s="207">
        <f t="shared" si="4"/>
        <v>226527.9202</v>
      </c>
      <c r="DF18" s="207">
        <f t="shared" si="4"/>
        <v>226527.9202</v>
      </c>
      <c r="DG18" s="207">
        <f t="shared" si="4"/>
        <v>226527.9202</v>
      </c>
      <c r="DH18" s="207">
        <f t="shared" si="4"/>
        <v>226032.3903</v>
      </c>
      <c r="DI18" s="207">
        <f t="shared" si="4"/>
        <v>226032.3903</v>
      </c>
      <c r="DJ18" s="207">
        <f t="shared" si="4"/>
        <v>226032.3903</v>
      </c>
      <c r="DK18" s="207">
        <f t="shared" si="4"/>
        <v>226032.3903</v>
      </c>
      <c r="DL18" s="207">
        <f t="shared" si="4"/>
        <v>226032.3903</v>
      </c>
      <c r="DM18" s="207">
        <f t="shared" si="4"/>
        <v>226032.3903</v>
      </c>
      <c r="DN18" s="207">
        <f t="shared" si="4"/>
        <v>226032.3903</v>
      </c>
      <c r="DO18" s="207">
        <f t="shared" si="4"/>
        <v>226032.3903</v>
      </c>
      <c r="DP18" s="207">
        <f t="shared" si="4"/>
        <v>226032.3903</v>
      </c>
      <c r="DQ18" s="207">
        <f t="shared" si="4"/>
        <v>226032.3903</v>
      </c>
      <c r="DR18" s="207">
        <f t="shared" si="4"/>
        <v>226032.3903</v>
      </c>
      <c r="DS18" s="207">
        <f t="shared" si="4"/>
        <v>226032.3903</v>
      </c>
      <c r="DT18" s="207">
        <f t="shared" si="4"/>
        <v>240323.4705</v>
      </c>
      <c r="DU18" s="207">
        <f t="shared" si="4"/>
        <v>240323.4705</v>
      </c>
      <c r="DV18" s="207">
        <f t="shared" si="4"/>
        <v>240323.4705</v>
      </c>
      <c r="DW18" s="207">
        <f t="shared" si="4"/>
        <v>240323.4705</v>
      </c>
      <c r="DX18" s="207">
        <f t="shared" si="4"/>
        <v>240323.4705</v>
      </c>
      <c r="DY18" s="207">
        <f t="shared" si="4"/>
        <v>240323.4705</v>
      </c>
      <c r="DZ18" s="207">
        <f t="shared" si="4"/>
        <v>240323.4705</v>
      </c>
      <c r="EA18" s="207">
        <f t="shared" si="4"/>
        <v>240323.4705</v>
      </c>
      <c r="EB18" s="207">
        <f t="shared" si="4"/>
        <v>240323.4705</v>
      </c>
      <c r="EC18" s="207">
        <f t="shared" si="4"/>
        <v>240323.4705</v>
      </c>
      <c r="ED18" s="207">
        <f t="shared" si="4"/>
        <v>240323.4705</v>
      </c>
      <c r="EE18" s="207">
        <f t="shared" si="4"/>
        <v>240323.4705</v>
      </c>
    </row>
    <row r="19" ht="15.75" customHeight="1">
      <c r="A19" s="1"/>
      <c r="B19" s="1"/>
      <c r="C19" s="1" t="str">
        <f>Assumptions!J19</f>
        <v>Other Income</v>
      </c>
      <c r="D19" s="54">
        <f t="array" ref="D19">IF(D$2=1,Assumptions!$AF19/12,(SUMIF($D$2:$EE$2,D$2-1,$D19:$EE19)/12)*(1+XLOOKUP(D$2,Assumptions!$C$94:$M$94,Assumptions!$C$97:$M$97)))</f>
        <v>20587.42971</v>
      </c>
      <c r="E19" s="54">
        <f t="array" ref="E19">IF(E$2=1,Assumptions!$AF19/12,(SUMIF($D$2:$EE$2,E$2-1,$D19:$EE19)/12)*(1+XLOOKUP(E$2,Assumptions!$C$94:$M$94,Assumptions!$C$97:$M$97)))</f>
        <v>20587.42971</v>
      </c>
      <c r="F19" s="54">
        <f t="array" ref="F19">IF(F$2=1,Assumptions!$AF19/12,(SUMIF($D$2:$EE$2,F$2-1,$D19:$EE19)/12)*(1+XLOOKUP(F$2,Assumptions!$C$94:$M$94,Assumptions!$C$97:$M$97)))</f>
        <v>20587.42971</v>
      </c>
      <c r="G19" s="54">
        <f t="array" ref="G19">IF(G$2=1,Assumptions!$AF19/12,(SUMIF($D$2:$EE$2,G$2-1,$D19:$EE19)/12)*(1+XLOOKUP(G$2,Assumptions!$C$94:$M$94,Assumptions!$C$97:$M$97)))</f>
        <v>20587.42971</v>
      </c>
      <c r="H19" s="54">
        <f t="array" ref="H19">IF(H$2=1,Assumptions!$AF19/12,(SUMIF($D$2:$EE$2,H$2-1,$D19:$EE19)/12)*(1+XLOOKUP(H$2,Assumptions!$C$94:$M$94,Assumptions!$C$97:$M$97)))</f>
        <v>20587.42971</v>
      </c>
      <c r="I19" s="54">
        <f t="array" ref="I19">IF(I$2=1,Assumptions!$AF19/12,(SUMIF($D$2:$EE$2,I$2-1,$D19:$EE19)/12)*(1+XLOOKUP(I$2,Assumptions!$C$94:$M$94,Assumptions!$C$97:$M$97)))</f>
        <v>20587.42971</v>
      </c>
      <c r="J19" s="54">
        <f t="array" ref="J19">IF(J$2=1,Assumptions!$AF19/12,(SUMIF($D$2:$EE$2,J$2-1,$D19:$EE19)/12)*(1+XLOOKUP(J$2,Assumptions!$C$94:$M$94,Assumptions!$C$97:$M$97)))</f>
        <v>20587.42971</v>
      </c>
      <c r="K19" s="54">
        <f t="array" ref="K19">IF(K$2=1,Assumptions!$AF19/12,(SUMIF($D$2:$EE$2,K$2-1,$D19:$EE19)/12)*(1+XLOOKUP(K$2,Assumptions!$C$94:$M$94,Assumptions!$C$97:$M$97)))</f>
        <v>20587.42971</v>
      </c>
      <c r="L19" s="54">
        <f t="array" ref="L19">IF(L$2=1,Assumptions!$AF19/12,(SUMIF($D$2:$EE$2,L$2-1,$D19:$EE19)/12)*(1+XLOOKUP(L$2,Assumptions!$C$94:$M$94,Assumptions!$C$97:$M$97)))</f>
        <v>20587.42971</v>
      </c>
      <c r="M19" s="54">
        <f t="array" ref="M19">IF(M$2=1,Assumptions!$AF19/12,(SUMIF($D$2:$EE$2,M$2-1,$D19:$EE19)/12)*(1+XLOOKUP(M$2,Assumptions!$C$94:$M$94,Assumptions!$C$97:$M$97)))</f>
        <v>20587.42971</v>
      </c>
      <c r="N19" s="54">
        <f t="array" ref="N19">IF(N$2=1,Assumptions!$AF19/12,(SUMIF($D$2:$EE$2,N$2-1,$D19:$EE19)/12)*(1+XLOOKUP(N$2,Assumptions!$C$94:$M$94,Assumptions!$C$97:$M$97)))</f>
        <v>20587.42971</v>
      </c>
      <c r="O19" s="54">
        <f t="array" ref="O19">IF(O$2=1,Assumptions!$AF19/12,(SUMIF($D$2:$EE$2,O$2-1,$D19:$EE19)/12)*(1+XLOOKUP(O$2,Assumptions!$C$94:$M$94,Assumptions!$C$97:$M$97)))</f>
        <v>20587.42971</v>
      </c>
      <c r="P19" s="54">
        <f t="array" ref="P19">IF(P$2=1,Assumptions!$AF19/12,(SUMIF($D$2:$EE$2,P$2-1,$D19:$EE19)/12)*(1+XLOOKUP(P$2,Assumptions!$C$94:$M$94,Assumptions!$C$97:$M$97)))</f>
        <v>21205.0526</v>
      </c>
      <c r="Q19" s="54">
        <f t="array" ref="Q19">IF(Q$2=1,Assumptions!$AF19/12,(SUMIF($D$2:$EE$2,Q$2-1,$D19:$EE19)/12)*(1+XLOOKUP(Q$2,Assumptions!$C$94:$M$94,Assumptions!$C$97:$M$97)))</f>
        <v>21205.0526</v>
      </c>
      <c r="R19" s="54">
        <f t="array" ref="R19">IF(R$2=1,Assumptions!$AF19/12,(SUMIF($D$2:$EE$2,R$2-1,$D19:$EE19)/12)*(1+XLOOKUP(R$2,Assumptions!$C$94:$M$94,Assumptions!$C$97:$M$97)))</f>
        <v>21205.0526</v>
      </c>
      <c r="S19" s="54">
        <f t="array" ref="S19">IF(S$2=1,Assumptions!$AF19/12,(SUMIF($D$2:$EE$2,S$2-1,$D19:$EE19)/12)*(1+XLOOKUP(S$2,Assumptions!$C$94:$M$94,Assumptions!$C$97:$M$97)))</f>
        <v>21205.0526</v>
      </c>
      <c r="T19" s="54">
        <f t="array" ref="T19">IF(T$2=1,Assumptions!$AF19/12,(SUMIF($D$2:$EE$2,T$2-1,$D19:$EE19)/12)*(1+XLOOKUP(T$2,Assumptions!$C$94:$M$94,Assumptions!$C$97:$M$97)))</f>
        <v>21205.0526</v>
      </c>
      <c r="U19" s="54">
        <f t="array" ref="U19">IF(U$2=1,Assumptions!$AF19/12,(SUMIF($D$2:$EE$2,U$2-1,$D19:$EE19)/12)*(1+XLOOKUP(U$2,Assumptions!$C$94:$M$94,Assumptions!$C$97:$M$97)))</f>
        <v>21205.0526</v>
      </c>
      <c r="V19" s="54">
        <f t="array" ref="V19">IF(V$2=1,Assumptions!$AF19/12,(SUMIF($D$2:$EE$2,V$2-1,$D19:$EE19)/12)*(1+XLOOKUP(V$2,Assumptions!$C$94:$M$94,Assumptions!$C$97:$M$97)))</f>
        <v>21205.0526</v>
      </c>
      <c r="W19" s="54">
        <f t="array" ref="W19">IF(W$2=1,Assumptions!$AF19/12,(SUMIF($D$2:$EE$2,W$2-1,$D19:$EE19)/12)*(1+XLOOKUP(W$2,Assumptions!$C$94:$M$94,Assumptions!$C$97:$M$97)))</f>
        <v>21205.0526</v>
      </c>
      <c r="X19" s="54">
        <f t="array" ref="X19">IF(X$2=1,Assumptions!$AF19/12,(SUMIF($D$2:$EE$2,X$2-1,$D19:$EE19)/12)*(1+XLOOKUP(X$2,Assumptions!$C$94:$M$94,Assumptions!$C$97:$M$97)))</f>
        <v>21205.0526</v>
      </c>
      <c r="Y19" s="54">
        <f t="array" ref="Y19">IF(Y$2=1,Assumptions!$AF19/12,(SUMIF($D$2:$EE$2,Y$2-1,$D19:$EE19)/12)*(1+XLOOKUP(Y$2,Assumptions!$C$94:$M$94,Assumptions!$C$97:$M$97)))</f>
        <v>21205.0526</v>
      </c>
      <c r="Z19" s="54">
        <f t="array" ref="Z19">IF(Z$2=1,Assumptions!$AF19/12,(SUMIF($D$2:$EE$2,Z$2-1,$D19:$EE19)/12)*(1+XLOOKUP(Z$2,Assumptions!$C$94:$M$94,Assumptions!$C$97:$M$97)))</f>
        <v>21205.0526</v>
      </c>
      <c r="AA19" s="54">
        <f t="array" ref="AA19">IF(AA$2=1,Assumptions!$AF19/12,(SUMIF($D$2:$EE$2,AA$2-1,$D19:$EE19)/12)*(1+XLOOKUP(AA$2,Assumptions!$C$94:$M$94,Assumptions!$C$97:$M$97)))</f>
        <v>21205.0526</v>
      </c>
      <c r="AB19" s="54">
        <f t="array" ref="AB19">IF(AB$2=1,Assumptions!$AF19/12,(SUMIF($D$2:$EE$2,AB$2-1,$D19:$EE19)/12)*(1+XLOOKUP(AB$2,Assumptions!$C$94:$M$94,Assumptions!$C$97:$M$97)))</f>
        <v>21841.20418</v>
      </c>
      <c r="AC19" s="54">
        <f t="array" ref="AC19">IF(AC$2=1,Assumptions!$AF19/12,(SUMIF($D$2:$EE$2,AC$2-1,$D19:$EE19)/12)*(1+XLOOKUP(AC$2,Assumptions!$C$94:$M$94,Assumptions!$C$97:$M$97)))</f>
        <v>21841.20418</v>
      </c>
      <c r="AD19" s="54">
        <f t="array" ref="AD19">IF(AD$2=1,Assumptions!$AF19/12,(SUMIF($D$2:$EE$2,AD$2-1,$D19:$EE19)/12)*(1+XLOOKUP(AD$2,Assumptions!$C$94:$M$94,Assumptions!$C$97:$M$97)))</f>
        <v>21841.20418</v>
      </c>
      <c r="AE19" s="54">
        <f t="array" ref="AE19">IF(AE$2=1,Assumptions!$AF19/12,(SUMIF($D$2:$EE$2,AE$2-1,$D19:$EE19)/12)*(1+XLOOKUP(AE$2,Assumptions!$C$94:$M$94,Assumptions!$C$97:$M$97)))</f>
        <v>21841.20418</v>
      </c>
      <c r="AF19" s="54">
        <f t="array" ref="AF19">IF(AF$2=1,Assumptions!$AF19/12,(SUMIF($D$2:$EE$2,AF$2-1,$D19:$EE19)/12)*(1+XLOOKUP(AF$2,Assumptions!$C$94:$M$94,Assumptions!$C$97:$M$97)))</f>
        <v>21841.20418</v>
      </c>
      <c r="AG19" s="54">
        <f t="array" ref="AG19">IF(AG$2=1,Assumptions!$AF19/12,(SUMIF($D$2:$EE$2,AG$2-1,$D19:$EE19)/12)*(1+XLOOKUP(AG$2,Assumptions!$C$94:$M$94,Assumptions!$C$97:$M$97)))</f>
        <v>21841.20418</v>
      </c>
      <c r="AH19" s="54">
        <f t="array" ref="AH19">IF(AH$2=1,Assumptions!$AF19/12,(SUMIF($D$2:$EE$2,AH$2-1,$D19:$EE19)/12)*(1+XLOOKUP(AH$2,Assumptions!$C$94:$M$94,Assumptions!$C$97:$M$97)))</f>
        <v>21841.20418</v>
      </c>
      <c r="AI19" s="54">
        <f t="array" ref="AI19">IF(AI$2=1,Assumptions!$AF19/12,(SUMIF($D$2:$EE$2,AI$2-1,$D19:$EE19)/12)*(1+XLOOKUP(AI$2,Assumptions!$C$94:$M$94,Assumptions!$C$97:$M$97)))</f>
        <v>21841.20418</v>
      </c>
      <c r="AJ19" s="54">
        <f t="array" ref="AJ19">IF(AJ$2=1,Assumptions!$AF19/12,(SUMIF($D$2:$EE$2,AJ$2-1,$D19:$EE19)/12)*(1+XLOOKUP(AJ$2,Assumptions!$C$94:$M$94,Assumptions!$C$97:$M$97)))</f>
        <v>21841.20418</v>
      </c>
      <c r="AK19" s="54">
        <f t="array" ref="AK19">IF(AK$2=1,Assumptions!$AF19/12,(SUMIF($D$2:$EE$2,AK$2-1,$D19:$EE19)/12)*(1+XLOOKUP(AK$2,Assumptions!$C$94:$M$94,Assumptions!$C$97:$M$97)))</f>
        <v>21841.20418</v>
      </c>
      <c r="AL19" s="54">
        <f t="array" ref="AL19">IF(AL$2=1,Assumptions!$AF19/12,(SUMIF($D$2:$EE$2,AL$2-1,$D19:$EE19)/12)*(1+XLOOKUP(AL$2,Assumptions!$C$94:$M$94,Assumptions!$C$97:$M$97)))</f>
        <v>21841.20418</v>
      </c>
      <c r="AM19" s="54">
        <f t="array" ref="AM19">IF(AM$2=1,Assumptions!$AF19/12,(SUMIF($D$2:$EE$2,AM$2-1,$D19:$EE19)/12)*(1+XLOOKUP(AM$2,Assumptions!$C$94:$M$94,Assumptions!$C$97:$M$97)))</f>
        <v>21841.20418</v>
      </c>
      <c r="AN19" s="54">
        <f t="array" ref="AN19">IF(AN$2=1,Assumptions!$AF19/12,(SUMIF($D$2:$EE$2,AN$2-1,$D19:$EE19)/12)*(1+XLOOKUP(AN$2,Assumptions!$C$94:$M$94,Assumptions!$C$97:$M$97)))</f>
        <v>22496.4403</v>
      </c>
      <c r="AO19" s="54">
        <f t="array" ref="AO19">IF(AO$2=1,Assumptions!$AF19/12,(SUMIF($D$2:$EE$2,AO$2-1,$D19:$EE19)/12)*(1+XLOOKUP(AO$2,Assumptions!$C$94:$M$94,Assumptions!$C$97:$M$97)))</f>
        <v>22496.4403</v>
      </c>
      <c r="AP19" s="54">
        <f t="array" ref="AP19">IF(AP$2=1,Assumptions!$AF19/12,(SUMIF($D$2:$EE$2,AP$2-1,$D19:$EE19)/12)*(1+XLOOKUP(AP$2,Assumptions!$C$94:$M$94,Assumptions!$C$97:$M$97)))</f>
        <v>22496.4403</v>
      </c>
      <c r="AQ19" s="54">
        <f t="array" ref="AQ19">IF(AQ$2=1,Assumptions!$AF19/12,(SUMIF($D$2:$EE$2,AQ$2-1,$D19:$EE19)/12)*(1+XLOOKUP(AQ$2,Assumptions!$C$94:$M$94,Assumptions!$C$97:$M$97)))</f>
        <v>22496.4403</v>
      </c>
      <c r="AR19" s="54">
        <f t="array" ref="AR19">IF(AR$2=1,Assumptions!$AF19/12,(SUMIF($D$2:$EE$2,AR$2-1,$D19:$EE19)/12)*(1+XLOOKUP(AR$2,Assumptions!$C$94:$M$94,Assumptions!$C$97:$M$97)))</f>
        <v>22496.4403</v>
      </c>
      <c r="AS19" s="54">
        <f t="array" ref="AS19">IF(AS$2=1,Assumptions!$AF19/12,(SUMIF($D$2:$EE$2,AS$2-1,$D19:$EE19)/12)*(1+XLOOKUP(AS$2,Assumptions!$C$94:$M$94,Assumptions!$C$97:$M$97)))</f>
        <v>22496.4403</v>
      </c>
      <c r="AT19" s="54">
        <f t="array" ref="AT19">IF(AT$2=1,Assumptions!$AF19/12,(SUMIF($D$2:$EE$2,AT$2-1,$D19:$EE19)/12)*(1+XLOOKUP(AT$2,Assumptions!$C$94:$M$94,Assumptions!$C$97:$M$97)))</f>
        <v>22496.4403</v>
      </c>
      <c r="AU19" s="54">
        <f t="array" ref="AU19">IF(AU$2=1,Assumptions!$AF19/12,(SUMIF($D$2:$EE$2,AU$2-1,$D19:$EE19)/12)*(1+XLOOKUP(AU$2,Assumptions!$C$94:$M$94,Assumptions!$C$97:$M$97)))</f>
        <v>22496.4403</v>
      </c>
      <c r="AV19" s="54">
        <f t="array" ref="AV19">IF(AV$2=1,Assumptions!$AF19/12,(SUMIF($D$2:$EE$2,AV$2-1,$D19:$EE19)/12)*(1+XLOOKUP(AV$2,Assumptions!$C$94:$M$94,Assumptions!$C$97:$M$97)))</f>
        <v>22496.4403</v>
      </c>
      <c r="AW19" s="54">
        <f t="array" ref="AW19">IF(AW$2=1,Assumptions!$AF19/12,(SUMIF($D$2:$EE$2,AW$2-1,$D19:$EE19)/12)*(1+XLOOKUP(AW$2,Assumptions!$C$94:$M$94,Assumptions!$C$97:$M$97)))</f>
        <v>22496.4403</v>
      </c>
      <c r="AX19" s="54">
        <f t="array" ref="AX19">IF(AX$2=1,Assumptions!$AF19/12,(SUMIF($D$2:$EE$2,AX$2-1,$D19:$EE19)/12)*(1+XLOOKUP(AX$2,Assumptions!$C$94:$M$94,Assumptions!$C$97:$M$97)))</f>
        <v>22496.4403</v>
      </c>
      <c r="AY19" s="54">
        <f t="array" ref="AY19">IF(AY$2=1,Assumptions!$AF19/12,(SUMIF($D$2:$EE$2,AY$2-1,$D19:$EE19)/12)*(1+XLOOKUP(AY$2,Assumptions!$C$94:$M$94,Assumptions!$C$97:$M$97)))</f>
        <v>22496.4403</v>
      </c>
      <c r="AZ19" s="54">
        <f t="array" ref="AZ19">IF(AZ$2=1,Assumptions!$AF19/12,(SUMIF($D$2:$EE$2,AZ$2-1,$D19:$EE19)/12)*(1+XLOOKUP(AZ$2,Assumptions!$C$94:$M$94,Assumptions!$C$97:$M$97)))</f>
        <v>23171.33351</v>
      </c>
      <c r="BA19" s="54">
        <f t="array" ref="BA19">IF(BA$2=1,Assumptions!$AF19/12,(SUMIF($D$2:$EE$2,BA$2-1,$D19:$EE19)/12)*(1+XLOOKUP(BA$2,Assumptions!$C$94:$M$94,Assumptions!$C$97:$M$97)))</f>
        <v>23171.33351</v>
      </c>
      <c r="BB19" s="54">
        <f t="array" ref="BB19">IF(BB$2=1,Assumptions!$AF19/12,(SUMIF($D$2:$EE$2,BB$2-1,$D19:$EE19)/12)*(1+XLOOKUP(BB$2,Assumptions!$C$94:$M$94,Assumptions!$C$97:$M$97)))</f>
        <v>23171.33351</v>
      </c>
      <c r="BC19" s="54">
        <f t="array" ref="BC19">IF(BC$2=1,Assumptions!$AF19/12,(SUMIF($D$2:$EE$2,BC$2-1,$D19:$EE19)/12)*(1+XLOOKUP(BC$2,Assumptions!$C$94:$M$94,Assumptions!$C$97:$M$97)))</f>
        <v>23171.33351</v>
      </c>
      <c r="BD19" s="54">
        <f t="array" ref="BD19">IF(BD$2=1,Assumptions!$AF19/12,(SUMIF($D$2:$EE$2,BD$2-1,$D19:$EE19)/12)*(1+XLOOKUP(BD$2,Assumptions!$C$94:$M$94,Assumptions!$C$97:$M$97)))</f>
        <v>23171.33351</v>
      </c>
      <c r="BE19" s="54">
        <f t="array" ref="BE19">IF(BE$2=1,Assumptions!$AF19/12,(SUMIF($D$2:$EE$2,BE$2-1,$D19:$EE19)/12)*(1+XLOOKUP(BE$2,Assumptions!$C$94:$M$94,Assumptions!$C$97:$M$97)))</f>
        <v>23171.33351</v>
      </c>
      <c r="BF19" s="54">
        <f t="array" ref="BF19">IF(BF$2=1,Assumptions!$AF19/12,(SUMIF($D$2:$EE$2,BF$2-1,$D19:$EE19)/12)*(1+XLOOKUP(BF$2,Assumptions!$C$94:$M$94,Assumptions!$C$97:$M$97)))</f>
        <v>23171.33351</v>
      </c>
      <c r="BG19" s="54">
        <f t="array" ref="BG19">IF(BG$2=1,Assumptions!$AF19/12,(SUMIF($D$2:$EE$2,BG$2-1,$D19:$EE19)/12)*(1+XLOOKUP(BG$2,Assumptions!$C$94:$M$94,Assumptions!$C$97:$M$97)))</f>
        <v>23171.33351</v>
      </c>
      <c r="BH19" s="54">
        <f t="array" ref="BH19">IF(BH$2=1,Assumptions!$AF19/12,(SUMIF($D$2:$EE$2,BH$2-1,$D19:$EE19)/12)*(1+XLOOKUP(BH$2,Assumptions!$C$94:$M$94,Assumptions!$C$97:$M$97)))</f>
        <v>23171.33351</v>
      </c>
      <c r="BI19" s="54">
        <f t="array" ref="BI19">IF(BI$2=1,Assumptions!$AF19/12,(SUMIF($D$2:$EE$2,BI$2-1,$D19:$EE19)/12)*(1+XLOOKUP(BI$2,Assumptions!$C$94:$M$94,Assumptions!$C$97:$M$97)))</f>
        <v>23171.33351</v>
      </c>
      <c r="BJ19" s="54">
        <f t="array" ref="BJ19">IF(BJ$2=1,Assumptions!$AF19/12,(SUMIF($D$2:$EE$2,BJ$2-1,$D19:$EE19)/12)*(1+XLOOKUP(BJ$2,Assumptions!$C$94:$M$94,Assumptions!$C$97:$M$97)))</f>
        <v>23171.33351</v>
      </c>
      <c r="BK19" s="54">
        <f t="array" ref="BK19">IF(BK$2=1,Assumptions!$AF19/12,(SUMIF($D$2:$EE$2,BK$2-1,$D19:$EE19)/12)*(1+XLOOKUP(BK$2,Assumptions!$C$94:$M$94,Assumptions!$C$97:$M$97)))</f>
        <v>23171.33351</v>
      </c>
      <c r="BL19" s="54">
        <f t="array" ref="BL19">IF(BL$2=1,Assumptions!$AF19/12,(SUMIF($D$2:$EE$2,BL$2-1,$D19:$EE19)/12)*(1+XLOOKUP(BL$2,Assumptions!$C$94:$M$94,Assumptions!$C$97:$M$97)))</f>
        <v>23866.47352</v>
      </c>
      <c r="BM19" s="54">
        <f t="array" ref="BM19">IF(BM$2=1,Assumptions!$AF19/12,(SUMIF($D$2:$EE$2,BM$2-1,$D19:$EE19)/12)*(1+XLOOKUP(BM$2,Assumptions!$C$94:$M$94,Assumptions!$C$97:$M$97)))</f>
        <v>23866.47352</v>
      </c>
      <c r="BN19" s="54">
        <f t="array" ref="BN19">IF(BN$2=1,Assumptions!$AF19/12,(SUMIF($D$2:$EE$2,BN$2-1,$D19:$EE19)/12)*(1+XLOOKUP(BN$2,Assumptions!$C$94:$M$94,Assumptions!$C$97:$M$97)))</f>
        <v>23866.47352</v>
      </c>
      <c r="BO19" s="54">
        <f t="array" ref="BO19">IF(BO$2=1,Assumptions!$AF19/12,(SUMIF($D$2:$EE$2,BO$2-1,$D19:$EE19)/12)*(1+XLOOKUP(BO$2,Assumptions!$C$94:$M$94,Assumptions!$C$97:$M$97)))</f>
        <v>23866.47352</v>
      </c>
      <c r="BP19" s="54">
        <f t="array" ref="BP19">IF(BP$2=1,Assumptions!$AF19/12,(SUMIF($D$2:$EE$2,BP$2-1,$D19:$EE19)/12)*(1+XLOOKUP(BP$2,Assumptions!$C$94:$M$94,Assumptions!$C$97:$M$97)))</f>
        <v>23866.47352</v>
      </c>
      <c r="BQ19" s="54">
        <f t="array" ref="BQ19">IF(BQ$2=1,Assumptions!$AF19/12,(SUMIF($D$2:$EE$2,BQ$2-1,$D19:$EE19)/12)*(1+XLOOKUP(BQ$2,Assumptions!$C$94:$M$94,Assumptions!$C$97:$M$97)))</f>
        <v>23866.47352</v>
      </c>
      <c r="BR19" s="54">
        <f t="array" ref="BR19">IF(BR$2=1,Assumptions!$AF19/12,(SUMIF($D$2:$EE$2,BR$2-1,$D19:$EE19)/12)*(1+XLOOKUP(BR$2,Assumptions!$C$94:$M$94,Assumptions!$C$97:$M$97)))</f>
        <v>23866.47352</v>
      </c>
      <c r="BS19" s="54">
        <f t="array" ref="BS19">IF(BS$2=1,Assumptions!$AF19/12,(SUMIF($D$2:$EE$2,BS$2-1,$D19:$EE19)/12)*(1+XLOOKUP(BS$2,Assumptions!$C$94:$M$94,Assumptions!$C$97:$M$97)))</f>
        <v>23866.47352</v>
      </c>
      <c r="BT19" s="54">
        <f t="array" ref="BT19">IF(BT$2=1,Assumptions!$AF19/12,(SUMIF($D$2:$EE$2,BT$2-1,$D19:$EE19)/12)*(1+XLOOKUP(BT$2,Assumptions!$C$94:$M$94,Assumptions!$C$97:$M$97)))</f>
        <v>23866.47352</v>
      </c>
      <c r="BU19" s="54">
        <f t="array" ref="BU19">IF(BU$2=1,Assumptions!$AF19/12,(SUMIF($D$2:$EE$2,BU$2-1,$D19:$EE19)/12)*(1+XLOOKUP(BU$2,Assumptions!$C$94:$M$94,Assumptions!$C$97:$M$97)))</f>
        <v>23866.47352</v>
      </c>
      <c r="BV19" s="54">
        <f t="array" ref="BV19">IF(BV$2=1,Assumptions!$AF19/12,(SUMIF($D$2:$EE$2,BV$2-1,$D19:$EE19)/12)*(1+XLOOKUP(BV$2,Assumptions!$C$94:$M$94,Assumptions!$C$97:$M$97)))</f>
        <v>23866.47352</v>
      </c>
      <c r="BW19" s="54">
        <f t="array" ref="BW19">IF(BW$2=1,Assumptions!$AF19/12,(SUMIF($D$2:$EE$2,BW$2-1,$D19:$EE19)/12)*(1+XLOOKUP(BW$2,Assumptions!$C$94:$M$94,Assumptions!$C$97:$M$97)))</f>
        <v>23866.47352</v>
      </c>
      <c r="BX19" s="54">
        <f t="array" ref="BX19">IF(BX$2=1,Assumptions!$AF19/12,(SUMIF($D$2:$EE$2,BX$2-1,$D19:$EE19)/12)*(1+XLOOKUP(BX$2,Assumptions!$C$94:$M$94,Assumptions!$C$97:$M$97)))</f>
        <v>24582.46772</v>
      </c>
      <c r="BY19" s="54">
        <f t="array" ref="BY19">IF(BY$2=1,Assumptions!$AF19/12,(SUMIF($D$2:$EE$2,BY$2-1,$D19:$EE19)/12)*(1+XLOOKUP(BY$2,Assumptions!$C$94:$M$94,Assumptions!$C$97:$M$97)))</f>
        <v>24582.46772</v>
      </c>
      <c r="BZ19" s="54">
        <f t="array" ref="BZ19">IF(BZ$2=1,Assumptions!$AF19/12,(SUMIF($D$2:$EE$2,BZ$2-1,$D19:$EE19)/12)*(1+XLOOKUP(BZ$2,Assumptions!$C$94:$M$94,Assumptions!$C$97:$M$97)))</f>
        <v>24582.46772</v>
      </c>
      <c r="CA19" s="54">
        <f t="array" ref="CA19">IF(CA$2=1,Assumptions!$AF19/12,(SUMIF($D$2:$EE$2,CA$2-1,$D19:$EE19)/12)*(1+XLOOKUP(CA$2,Assumptions!$C$94:$M$94,Assumptions!$C$97:$M$97)))</f>
        <v>24582.46772</v>
      </c>
      <c r="CB19" s="54">
        <f t="array" ref="CB19">IF(CB$2=1,Assumptions!$AF19/12,(SUMIF($D$2:$EE$2,CB$2-1,$D19:$EE19)/12)*(1+XLOOKUP(CB$2,Assumptions!$C$94:$M$94,Assumptions!$C$97:$M$97)))</f>
        <v>24582.46772</v>
      </c>
      <c r="CC19" s="54">
        <f t="array" ref="CC19">IF(CC$2=1,Assumptions!$AF19/12,(SUMIF($D$2:$EE$2,CC$2-1,$D19:$EE19)/12)*(1+XLOOKUP(CC$2,Assumptions!$C$94:$M$94,Assumptions!$C$97:$M$97)))</f>
        <v>24582.46772</v>
      </c>
      <c r="CD19" s="54">
        <f t="array" ref="CD19">IF(CD$2=1,Assumptions!$AF19/12,(SUMIF($D$2:$EE$2,CD$2-1,$D19:$EE19)/12)*(1+XLOOKUP(CD$2,Assumptions!$C$94:$M$94,Assumptions!$C$97:$M$97)))</f>
        <v>24582.46772</v>
      </c>
      <c r="CE19" s="54">
        <f t="array" ref="CE19">IF(CE$2=1,Assumptions!$AF19/12,(SUMIF($D$2:$EE$2,CE$2-1,$D19:$EE19)/12)*(1+XLOOKUP(CE$2,Assumptions!$C$94:$M$94,Assumptions!$C$97:$M$97)))</f>
        <v>24582.46772</v>
      </c>
      <c r="CF19" s="54">
        <f t="array" ref="CF19">IF(CF$2=1,Assumptions!$AF19/12,(SUMIF($D$2:$EE$2,CF$2-1,$D19:$EE19)/12)*(1+XLOOKUP(CF$2,Assumptions!$C$94:$M$94,Assumptions!$C$97:$M$97)))</f>
        <v>24582.46772</v>
      </c>
      <c r="CG19" s="54">
        <f t="array" ref="CG19">IF(CG$2=1,Assumptions!$AF19/12,(SUMIF($D$2:$EE$2,CG$2-1,$D19:$EE19)/12)*(1+XLOOKUP(CG$2,Assumptions!$C$94:$M$94,Assumptions!$C$97:$M$97)))</f>
        <v>24582.46772</v>
      </c>
      <c r="CH19" s="54">
        <f t="array" ref="CH19">IF(CH$2=1,Assumptions!$AF19/12,(SUMIF($D$2:$EE$2,CH$2-1,$D19:$EE19)/12)*(1+XLOOKUP(CH$2,Assumptions!$C$94:$M$94,Assumptions!$C$97:$M$97)))</f>
        <v>24582.46772</v>
      </c>
      <c r="CI19" s="54">
        <f t="array" ref="CI19">IF(CI$2=1,Assumptions!$AF19/12,(SUMIF($D$2:$EE$2,CI$2-1,$D19:$EE19)/12)*(1+XLOOKUP(CI$2,Assumptions!$C$94:$M$94,Assumptions!$C$97:$M$97)))</f>
        <v>24582.46772</v>
      </c>
      <c r="CJ19" s="54">
        <f t="array" ref="CJ19">IF(CJ$2=1,Assumptions!$AF19/12,(SUMIF($D$2:$EE$2,CJ$2-1,$D19:$EE19)/12)*(1+XLOOKUP(CJ$2,Assumptions!$C$94:$M$94,Assumptions!$C$97:$M$97)))</f>
        <v>25319.94175</v>
      </c>
      <c r="CK19" s="54">
        <f t="array" ref="CK19">IF(CK$2=1,Assumptions!$AF19/12,(SUMIF($D$2:$EE$2,CK$2-1,$D19:$EE19)/12)*(1+XLOOKUP(CK$2,Assumptions!$C$94:$M$94,Assumptions!$C$97:$M$97)))</f>
        <v>25319.94175</v>
      </c>
      <c r="CL19" s="54">
        <f t="array" ref="CL19">IF(CL$2=1,Assumptions!$AF19/12,(SUMIF($D$2:$EE$2,CL$2-1,$D19:$EE19)/12)*(1+XLOOKUP(CL$2,Assumptions!$C$94:$M$94,Assumptions!$C$97:$M$97)))</f>
        <v>25319.94175</v>
      </c>
      <c r="CM19" s="54">
        <f t="array" ref="CM19">IF(CM$2=1,Assumptions!$AF19/12,(SUMIF($D$2:$EE$2,CM$2-1,$D19:$EE19)/12)*(1+XLOOKUP(CM$2,Assumptions!$C$94:$M$94,Assumptions!$C$97:$M$97)))</f>
        <v>25319.94175</v>
      </c>
      <c r="CN19" s="54">
        <f t="array" ref="CN19">IF(CN$2=1,Assumptions!$AF19/12,(SUMIF($D$2:$EE$2,CN$2-1,$D19:$EE19)/12)*(1+XLOOKUP(CN$2,Assumptions!$C$94:$M$94,Assumptions!$C$97:$M$97)))</f>
        <v>25319.94175</v>
      </c>
      <c r="CO19" s="54">
        <f t="array" ref="CO19">IF(CO$2=1,Assumptions!$AF19/12,(SUMIF($D$2:$EE$2,CO$2-1,$D19:$EE19)/12)*(1+XLOOKUP(CO$2,Assumptions!$C$94:$M$94,Assumptions!$C$97:$M$97)))</f>
        <v>25319.94175</v>
      </c>
      <c r="CP19" s="54">
        <f t="array" ref="CP19">IF(CP$2=1,Assumptions!$AF19/12,(SUMIF($D$2:$EE$2,CP$2-1,$D19:$EE19)/12)*(1+XLOOKUP(CP$2,Assumptions!$C$94:$M$94,Assumptions!$C$97:$M$97)))</f>
        <v>25319.94175</v>
      </c>
      <c r="CQ19" s="54">
        <f t="array" ref="CQ19">IF(CQ$2=1,Assumptions!$AF19/12,(SUMIF($D$2:$EE$2,CQ$2-1,$D19:$EE19)/12)*(1+XLOOKUP(CQ$2,Assumptions!$C$94:$M$94,Assumptions!$C$97:$M$97)))</f>
        <v>25319.94175</v>
      </c>
      <c r="CR19" s="54">
        <f t="array" ref="CR19">IF(CR$2=1,Assumptions!$AF19/12,(SUMIF($D$2:$EE$2,CR$2-1,$D19:$EE19)/12)*(1+XLOOKUP(CR$2,Assumptions!$C$94:$M$94,Assumptions!$C$97:$M$97)))</f>
        <v>25319.94175</v>
      </c>
      <c r="CS19" s="54">
        <f t="array" ref="CS19">IF(CS$2=1,Assumptions!$AF19/12,(SUMIF($D$2:$EE$2,CS$2-1,$D19:$EE19)/12)*(1+XLOOKUP(CS$2,Assumptions!$C$94:$M$94,Assumptions!$C$97:$M$97)))</f>
        <v>25319.94175</v>
      </c>
      <c r="CT19" s="54">
        <f t="array" ref="CT19">IF(CT$2=1,Assumptions!$AF19/12,(SUMIF($D$2:$EE$2,CT$2-1,$D19:$EE19)/12)*(1+XLOOKUP(CT$2,Assumptions!$C$94:$M$94,Assumptions!$C$97:$M$97)))</f>
        <v>25319.94175</v>
      </c>
      <c r="CU19" s="54">
        <f t="array" ref="CU19">IF(CU$2=1,Assumptions!$AF19/12,(SUMIF($D$2:$EE$2,CU$2-1,$D19:$EE19)/12)*(1+XLOOKUP(CU$2,Assumptions!$C$94:$M$94,Assumptions!$C$97:$M$97)))</f>
        <v>25319.94175</v>
      </c>
      <c r="CV19" s="54">
        <f t="array" ref="CV19">IF(CV$2=1,Assumptions!$AF19/12,(SUMIF($D$2:$EE$2,CV$2-1,$D19:$EE19)/12)*(1+XLOOKUP(CV$2,Assumptions!$C$94:$M$94,Assumptions!$C$97:$M$97)))</f>
        <v>26079.54001</v>
      </c>
      <c r="CW19" s="54">
        <f t="array" ref="CW19">IF(CW$2=1,Assumptions!$AF19/12,(SUMIF($D$2:$EE$2,CW$2-1,$D19:$EE19)/12)*(1+XLOOKUP(CW$2,Assumptions!$C$94:$M$94,Assumptions!$C$97:$M$97)))</f>
        <v>26079.54001</v>
      </c>
      <c r="CX19" s="54">
        <f t="array" ref="CX19">IF(CX$2=1,Assumptions!$AF19/12,(SUMIF($D$2:$EE$2,CX$2-1,$D19:$EE19)/12)*(1+XLOOKUP(CX$2,Assumptions!$C$94:$M$94,Assumptions!$C$97:$M$97)))</f>
        <v>26079.54001</v>
      </c>
      <c r="CY19" s="54">
        <f t="array" ref="CY19">IF(CY$2=1,Assumptions!$AF19/12,(SUMIF($D$2:$EE$2,CY$2-1,$D19:$EE19)/12)*(1+XLOOKUP(CY$2,Assumptions!$C$94:$M$94,Assumptions!$C$97:$M$97)))</f>
        <v>26079.54001</v>
      </c>
      <c r="CZ19" s="54">
        <f t="array" ref="CZ19">IF(CZ$2=1,Assumptions!$AF19/12,(SUMIF($D$2:$EE$2,CZ$2-1,$D19:$EE19)/12)*(1+XLOOKUP(CZ$2,Assumptions!$C$94:$M$94,Assumptions!$C$97:$M$97)))</f>
        <v>26079.54001</v>
      </c>
      <c r="DA19" s="54">
        <f t="array" ref="DA19">IF(DA$2=1,Assumptions!$AF19/12,(SUMIF($D$2:$EE$2,DA$2-1,$D19:$EE19)/12)*(1+XLOOKUP(DA$2,Assumptions!$C$94:$M$94,Assumptions!$C$97:$M$97)))</f>
        <v>26079.54001</v>
      </c>
      <c r="DB19" s="54">
        <f t="array" ref="DB19">IF(DB$2=1,Assumptions!$AF19/12,(SUMIF($D$2:$EE$2,DB$2-1,$D19:$EE19)/12)*(1+XLOOKUP(DB$2,Assumptions!$C$94:$M$94,Assumptions!$C$97:$M$97)))</f>
        <v>26079.54001</v>
      </c>
      <c r="DC19" s="54">
        <f t="array" ref="DC19">IF(DC$2=1,Assumptions!$AF19/12,(SUMIF($D$2:$EE$2,DC$2-1,$D19:$EE19)/12)*(1+XLOOKUP(DC$2,Assumptions!$C$94:$M$94,Assumptions!$C$97:$M$97)))</f>
        <v>26079.54001</v>
      </c>
      <c r="DD19" s="54">
        <f t="array" ref="DD19">IF(DD$2=1,Assumptions!$AF19/12,(SUMIF($D$2:$EE$2,DD$2-1,$D19:$EE19)/12)*(1+XLOOKUP(DD$2,Assumptions!$C$94:$M$94,Assumptions!$C$97:$M$97)))</f>
        <v>26079.54001</v>
      </c>
      <c r="DE19" s="54">
        <f t="array" ref="DE19">IF(DE$2=1,Assumptions!$AF19/12,(SUMIF($D$2:$EE$2,DE$2-1,$D19:$EE19)/12)*(1+XLOOKUP(DE$2,Assumptions!$C$94:$M$94,Assumptions!$C$97:$M$97)))</f>
        <v>26079.54001</v>
      </c>
      <c r="DF19" s="54">
        <f t="array" ref="DF19">IF(DF$2=1,Assumptions!$AF19/12,(SUMIF($D$2:$EE$2,DF$2-1,$D19:$EE19)/12)*(1+XLOOKUP(DF$2,Assumptions!$C$94:$M$94,Assumptions!$C$97:$M$97)))</f>
        <v>26079.54001</v>
      </c>
      <c r="DG19" s="54">
        <f t="array" ref="DG19">IF(DG$2=1,Assumptions!$AF19/12,(SUMIF($D$2:$EE$2,DG$2-1,$D19:$EE19)/12)*(1+XLOOKUP(DG$2,Assumptions!$C$94:$M$94,Assumptions!$C$97:$M$97)))</f>
        <v>26079.54001</v>
      </c>
      <c r="DH19" s="54">
        <f t="array" ref="DH19">IF(DH$2=1,Assumptions!$AF19/12,(SUMIF($D$2:$EE$2,DH$2-1,$D19:$EE19)/12)*(1+XLOOKUP(DH$2,Assumptions!$C$94:$M$94,Assumptions!$C$97:$M$97)))</f>
        <v>26861.92621</v>
      </c>
      <c r="DI19" s="54">
        <f t="array" ref="DI19">IF(DI$2=1,Assumptions!$AF19/12,(SUMIF($D$2:$EE$2,DI$2-1,$D19:$EE19)/12)*(1+XLOOKUP(DI$2,Assumptions!$C$94:$M$94,Assumptions!$C$97:$M$97)))</f>
        <v>26861.92621</v>
      </c>
      <c r="DJ19" s="54">
        <f t="array" ref="DJ19">IF(DJ$2=1,Assumptions!$AF19/12,(SUMIF($D$2:$EE$2,DJ$2-1,$D19:$EE19)/12)*(1+XLOOKUP(DJ$2,Assumptions!$C$94:$M$94,Assumptions!$C$97:$M$97)))</f>
        <v>26861.92621</v>
      </c>
      <c r="DK19" s="54">
        <f t="array" ref="DK19">IF(DK$2=1,Assumptions!$AF19/12,(SUMIF($D$2:$EE$2,DK$2-1,$D19:$EE19)/12)*(1+XLOOKUP(DK$2,Assumptions!$C$94:$M$94,Assumptions!$C$97:$M$97)))</f>
        <v>26861.92621</v>
      </c>
      <c r="DL19" s="54">
        <f t="array" ref="DL19">IF(DL$2=1,Assumptions!$AF19/12,(SUMIF($D$2:$EE$2,DL$2-1,$D19:$EE19)/12)*(1+XLOOKUP(DL$2,Assumptions!$C$94:$M$94,Assumptions!$C$97:$M$97)))</f>
        <v>26861.92621</v>
      </c>
      <c r="DM19" s="54">
        <f t="array" ref="DM19">IF(DM$2=1,Assumptions!$AF19/12,(SUMIF($D$2:$EE$2,DM$2-1,$D19:$EE19)/12)*(1+XLOOKUP(DM$2,Assumptions!$C$94:$M$94,Assumptions!$C$97:$M$97)))</f>
        <v>26861.92621</v>
      </c>
      <c r="DN19" s="54">
        <f t="array" ref="DN19">IF(DN$2=1,Assumptions!$AF19/12,(SUMIF($D$2:$EE$2,DN$2-1,$D19:$EE19)/12)*(1+XLOOKUP(DN$2,Assumptions!$C$94:$M$94,Assumptions!$C$97:$M$97)))</f>
        <v>26861.92621</v>
      </c>
      <c r="DO19" s="54">
        <f t="array" ref="DO19">IF(DO$2=1,Assumptions!$AF19/12,(SUMIF($D$2:$EE$2,DO$2-1,$D19:$EE19)/12)*(1+XLOOKUP(DO$2,Assumptions!$C$94:$M$94,Assumptions!$C$97:$M$97)))</f>
        <v>26861.92621</v>
      </c>
      <c r="DP19" s="54">
        <f t="array" ref="DP19">IF(DP$2=1,Assumptions!$AF19/12,(SUMIF($D$2:$EE$2,DP$2-1,$D19:$EE19)/12)*(1+XLOOKUP(DP$2,Assumptions!$C$94:$M$94,Assumptions!$C$97:$M$97)))</f>
        <v>26861.92621</v>
      </c>
      <c r="DQ19" s="54">
        <f t="array" ref="DQ19">IF(DQ$2=1,Assumptions!$AF19/12,(SUMIF($D$2:$EE$2,DQ$2-1,$D19:$EE19)/12)*(1+XLOOKUP(DQ$2,Assumptions!$C$94:$M$94,Assumptions!$C$97:$M$97)))</f>
        <v>26861.92621</v>
      </c>
      <c r="DR19" s="54">
        <f t="array" ref="DR19">IF(DR$2=1,Assumptions!$AF19/12,(SUMIF($D$2:$EE$2,DR$2-1,$D19:$EE19)/12)*(1+XLOOKUP(DR$2,Assumptions!$C$94:$M$94,Assumptions!$C$97:$M$97)))</f>
        <v>26861.92621</v>
      </c>
      <c r="DS19" s="54">
        <f t="array" ref="DS19">IF(DS$2=1,Assumptions!$AF19/12,(SUMIF($D$2:$EE$2,DS$2-1,$D19:$EE19)/12)*(1+XLOOKUP(DS$2,Assumptions!$C$94:$M$94,Assumptions!$C$97:$M$97)))</f>
        <v>26861.92621</v>
      </c>
      <c r="DT19" s="54">
        <f t="array" ref="DT19">IF(DT$2=1,Assumptions!$AF19/12,(SUMIF($D$2:$EE$2,DT$2-1,$D19:$EE19)/12)*(1+XLOOKUP(DT$2,Assumptions!$C$94:$M$94,Assumptions!$C$97:$M$97)))</f>
        <v>27667.78399</v>
      </c>
      <c r="DU19" s="54">
        <f t="array" ref="DU19">IF(DU$2=1,Assumptions!$AF19/12,(SUMIF($D$2:$EE$2,DU$2-1,$D19:$EE19)/12)*(1+XLOOKUP(DU$2,Assumptions!$C$94:$M$94,Assumptions!$C$97:$M$97)))</f>
        <v>27667.78399</v>
      </c>
      <c r="DV19" s="54">
        <f t="array" ref="DV19">IF(DV$2=1,Assumptions!$AF19/12,(SUMIF($D$2:$EE$2,DV$2-1,$D19:$EE19)/12)*(1+XLOOKUP(DV$2,Assumptions!$C$94:$M$94,Assumptions!$C$97:$M$97)))</f>
        <v>27667.78399</v>
      </c>
      <c r="DW19" s="54">
        <f t="array" ref="DW19">IF(DW$2=1,Assumptions!$AF19/12,(SUMIF($D$2:$EE$2,DW$2-1,$D19:$EE19)/12)*(1+XLOOKUP(DW$2,Assumptions!$C$94:$M$94,Assumptions!$C$97:$M$97)))</f>
        <v>27667.78399</v>
      </c>
      <c r="DX19" s="54">
        <f t="array" ref="DX19">IF(DX$2=1,Assumptions!$AF19/12,(SUMIF($D$2:$EE$2,DX$2-1,$D19:$EE19)/12)*(1+XLOOKUP(DX$2,Assumptions!$C$94:$M$94,Assumptions!$C$97:$M$97)))</f>
        <v>27667.78399</v>
      </c>
      <c r="DY19" s="54">
        <f t="array" ref="DY19">IF(DY$2=1,Assumptions!$AF19/12,(SUMIF($D$2:$EE$2,DY$2-1,$D19:$EE19)/12)*(1+XLOOKUP(DY$2,Assumptions!$C$94:$M$94,Assumptions!$C$97:$M$97)))</f>
        <v>27667.78399</v>
      </c>
      <c r="DZ19" s="54">
        <f t="array" ref="DZ19">IF(DZ$2=1,Assumptions!$AF19/12,(SUMIF($D$2:$EE$2,DZ$2-1,$D19:$EE19)/12)*(1+XLOOKUP(DZ$2,Assumptions!$C$94:$M$94,Assumptions!$C$97:$M$97)))</f>
        <v>27667.78399</v>
      </c>
      <c r="EA19" s="54">
        <f t="array" ref="EA19">IF(EA$2=1,Assumptions!$AF19/12,(SUMIF($D$2:$EE$2,EA$2-1,$D19:$EE19)/12)*(1+XLOOKUP(EA$2,Assumptions!$C$94:$M$94,Assumptions!$C$97:$M$97)))</f>
        <v>27667.78399</v>
      </c>
      <c r="EB19" s="54">
        <f t="array" ref="EB19">IF(EB$2=1,Assumptions!$AF19/12,(SUMIF($D$2:$EE$2,EB$2-1,$D19:$EE19)/12)*(1+XLOOKUP(EB$2,Assumptions!$C$94:$M$94,Assumptions!$C$97:$M$97)))</f>
        <v>27667.78399</v>
      </c>
      <c r="EC19" s="54">
        <f t="array" ref="EC19">IF(EC$2=1,Assumptions!$AF19/12,(SUMIF($D$2:$EE$2,EC$2-1,$D19:$EE19)/12)*(1+XLOOKUP(EC$2,Assumptions!$C$94:$M$94,Assumptions!$C$97:$M$97)))</f>
        <v>27667.78399</v>
      </c>
      <c r="ED19" s="54">
        <f t="array" ref="ED19">IF(ED$2=1,Assumptions!$AF19/12,(SUMIF($D$2:$EE$2,ED$2-1,$D19:$EE19)/12)*(1+XLOOKUP(ED$2,Assumptions!$C$94:$M$94,Assumptions!$C$97:$M$97)))</f>
        <v>27667.78399</v>
      </c>
      <c r="EE19" s="54">
        <f t="array" ref="EE19">IF(EE$2=1,Assumptions!$AF19/12,(SUMIF($D$2:$EE$2,EE$2-1,$D19:$EE19)/12)*(1+XLOOKUP(EE$2,Assumptions!$C$94:$M$94,Assumptions!$C$97:$M$97)))</f>
        <v>27667.78399</v>
      </c>
    </row>
    <row r="20" ht="15.75" customHeight="1">
      <c r="A20" s="1"/>
      <c r="B20" s="1"/>
      <c r="C20" s="1" t="str">
        <f>Assumptions!J20</f>
        <v>Utility Reimburshment (w/o Electricity)</v>
      </c>
      <c r="D20" s="54">
        <f>-D$27*(1+Assumptions!$AB$21)*IF(D2&lt;Assumptions!$F$21,0,1)</f>
        <v>0</v>
      </c>
      <c r="E20" s="54">
        <f>-E$27*(1+Assumptions!$AB$21)*IF(E2&lt;Assumptions!$F$21,0,1)</f>
        <v>0</v>
      </c>
      <c r="F20" s="54">
        <f>-F$27*(1+Assumptions!$AB$21)*IF(F2&lt;Assumptions!$F$21,0,1)</f>
        <v>0</v>
      </c>
      <c r="G20" s="54">
        <f>-G$27*(1+Assumptions!$AB$21)*IF(G2&lt;Assumptions!$F$21,0,1)</f>
        <v>0</v>
      </c>
      <c r="H20" s="54">
        <f>-H$27*(1+Assumptions!$AB$21)*IF(H2&lt;Assumptions!$F$21,0,1)</f>
        <v>0</v>
      </c>
      <c r="I20" s="54">
        <f>-I$27*(1+Assumptions!$AB$21)*IF(I2&lt;Assumptions!$F$21,0,1)</f>
        <v>0</v>
      </c>
      <c r="J20" s="54">
        <f>-J$27*(1+Assumptions!$AB$21)*IF(J2&lt;Assumptions!$F$21,0,1)</f>
        <v>0</v>
      </c>
      <c r="K20" s="54">
        <f>-K$27*(1+Assumptions!$AB$21)*IF(K2&lt;Assumptions!$F$21,0,1)</f>
        <v>0</v>
      </c>
      <c r="L20" s="54">
        <f>-L$27*(1+Assumptions!$AB$21)*IF(L2&lt;Assumptions!$F$21,0,1)</f>
        <v>0</v>
      </c>
      <c r="M20" s="54">
        <f>-M$27*(1+Assumptions!$AB$21)*IF(M2&lt;Assumptions!$F$21,0,1)</f>
        <v>0</v>
      </c>
      <c r="N20" s="54">
        <f>-N$27*(1+Assumptions!$AB$21)*IF(N2&lt;Assumptions!$F$21,0,1)</f>
        <v>0</v>
      </c>
      <c r="O20" s="54">
        <f>-O$27*(1+Assumptions!$AB$21)*IF(O2&lt;Assumptions!$F$21,0,1)</f>
        <v>0</v>
      </c>
      <c r="P20" s="54">
        <f>-P$27*(1+Assumptions!$AB$21)*IF(P2&lt;Assumptions!$F$21,0,1)</f>
        <v>8196.256927</v>
      </c>
      <c r="Q20" s="54">
        <f>-Q$27*(1+Assumptions!$AB$21)*IF(Q2&lt;Assumptions!$F$21,0,1)</f>
        <v>8196.256927</v>
      </c>
      <c r="R20" s="54">
        <f>-R$27*(1+Assumptions!$AB$21)*IF(R2&lt;Assumptions!$F$21,0,1)</f>
        <v>8196.256927</v>
      </c>
      <c r="S20" s="54">
        <f>-S$27*(1+Assumptions!$AB$21)*IF(S2&lt;Assumptions!$F$21,0,1)</f>
        <v>8196.256927</v>
      </c>
      <c r="T20" s="54">
        <f>-T$27*(1+Assumptions!$AB$21)*IF(T2&lt;Assumptions!$F$21,0,1)</f>
        <v>8196.256927</v>
      </c>
      <c r="U20" s="54">
        <f>-U$27*(1+Assumptions!$AB$21)*IF(U2&lt;Assumptions!$F$21,0,1)</f>
        <v>8196.256927</v>
      </c>
      <c r="V20" s="54">
        <f>-V$27*(1+Assumptions!$AB$21)*IF(V2&lt;Assumptions!$F$21,0,1)</f>
        <v>8196.256927</v>
      </c>
      <c r="W20" s="54">
        <f>-W$27*(1+Assumptions!$AB$21)*IF(W2&lt;Assumptions!$F$21,0,1)</f>
        <v>8196.256927</v>
      </c>
      <c r="X20" s="54">
        <f>-X$27*(1+Assumptions!$AB$21)*IF(X2&lt;Assumptions!$F$21,0,1)</f>
        <v>8196.256927</v>
      </c>
      <c r="Y20" s="54">
        <f>-Y$27*(1+Assumptions!$AB$21)*IF(Y2&lt;Assumptions!$F$21,0,1)</f>
        <v>8196.256927</v>
      </c>
      <c r="Z20" s="54">
        <f>-Z$27*(1+Assumptions!$AB$21)*IF(Z2&lt;Assumptions!$F$21,0,1)</f>
        <v>8196.256927</v>
      </c>
      <c r="AA20" s="54">
        <f>-AA$27*(1+Assumptions!$AB$21)*IF(AA2&lt;Assumptions!$F$21,0,1)</f>
        <v>8196.256927</v>
      </c>
      <c r="AB20" s="54">
        <f>-AB$27*(1+Assumptions!$AB$21)*IF(AB2&lt;Assumptions!$F$21,0,1)</f>
        <v>8442.144635</v>
      </c>
      <c r="AC20" s="54">
        <f>-AC$27*(1+Assumptions!$AB$21)*IF(AC2&lt;Assumptions!$F$21,0,1)</f>
        <v>8442.144635</v>
      </c>
      <c r="AD20" s="54">
        <f>-AD$27*(1+Assumptions!$AB$21)*IF(AD2&lt;Assumptions!$F$21,0,1)</f>
        <v>8442.144635</v>
      </c>
      <c r="AE20" s="54">
        <f>-AE$27*(1+Assumptions!$AB$21)*IF(AE2&lt;Assumptions!$F$21,0,1)</f>
        <v>8442.144635</v>
      </c>
      <c r="AF20" s="54">
        <f>-AF$27*(1+Assumptions!$AB$21)*IF(AF2&lt;Assumptions!$F$21,0,1)</f>
        <v>8442.144635</v>
      </c>
      <c r="AG20" s="54">
        <f>-AG$27*(1+Assumptions!$AB$21)*IF(AG2&lt;Assumptions!$F$21,0,1)</f>
        <v>8442.144635</v>
      </c>
      <c r="AH20" s="54">
        <f>-AH$27*(1+Assumptions!$AB$21)*IF(AH2&lt;Assumptions!$F$21,0,1)</f>
        <v>8442.144635</v>
      </c>
      <c r="AI20" s="54">
        <f>-AI$27*(1+Assumptions!$AB$21)*IF(AI2&lt;Assumptions!$F$21,0,1)</f>
        <v>8442.144635</v>
      </c>
      <c r="AJ20" s="54">
        <f>-AJ$27*(1+Assumptions!$AB$21)*IF(AJ2&lt;Assumptions!$F$21,0,1)</f>
        <v>8442.144635</v>
      </c>
      <c r="AK20" s="54">
        <f>-AK$27*(1+Assumptions!$AB$21)*IF(AK2&lt;Assumptions!$F$21,0,1)</f>
        <v>8442.144635</v>
      </c>
      <c r="AL20" s="54">
        <f>-AL$27*(1+Assumptions!$AB$21)*IF(AL2&lt;Assumptions!$F$21,0,1)</f>
        <v>8442.144635</v>
      </c>
      <c r="AM20" s="54">
        <f>-AM$27*(1+Assumptions!$AB$21)*IF(AM2&lt;Assumptions!$F$21,0,1)</f>
        <v>8442.144635</v>
      </c>
      <c r="AN20" s="54">
        <f>-AN$27*(1+Assumptions!$AB$21)*IF(AN2&lt;Assumptions!$F$21,0,1)</f>
        <v>8695.408974</v>
      </c>
      <c r="AO20" s="54">
        <f>-AO$27*(1+Assumptions!$AB$21)*IF(AO2&lt;Assumptions!$F$21,0,1)</f>
        <v>8695.408974</v>
      </c>
      <c r="AP20" s="54">
        <f>-AP$27*(1+Assumptions!$AB$21)*IF(AP2&lt;Assumptions!$F$21,0,1)</f>
        <v>8695.408974</v>
      </c>
      <c r="AQ20" s="54">
        <f>-AQ$27*(1+Assumptions!$AB$21)*IF(AQ2&lt;Assumptions!$F$21,0,1)</f>
        <v>8695.408974</v>
      </c>
      <c r="AR20" s="54">
        <f>-AR$27*(1+Assumptions!$AB$21)*IF(AR2&lt;Assumptions!$F$21,0,1)</f>
        <v>8695.408974</v>
      </c>
      <c r="AS20" s="54">
        <f>-AS$27*(1+Assumptions!$AB$21)*IF(AS2&lt;Assumptions!$F$21,0,1)</f>
        <v>8695.408974</v>
      </c>
      <c r="AT20" s="54">
        <f>-AT$27*(1+Assumptions!$AB$21)*IF(AT2&lt;Assumptions!$F$21,0,1)</f>
        <v>8695.408974</v>
      </c>
      <c r="AU20" s="54">
        <f>-AU$27*(1+Assumptions!$AB$21)*IF(AU2&lt;Assumptions!$F$21,0,1)</f>
        <v>8695.408974</v>
      </c>
      <c r="AV20" s="54">
        <f>-AV$27*(1+Assumptions!$AB$21)*IF(AV2&lt;Assumptions!$F$21,0,1)</f>
        <v>8695.408974</v>
      </c>
      <c r="AW20" s="54">
        <f>-AW$27*(1+Assumptions!$AB$21)*IF(AW2&lt;Assumptions!$F$21,0,1)</f>
        <v>8695.408974</v>
      </c>
      <c r="AX20" s="54">
        <f>-AX$27*(1+Assumptions!$AB$21)*IF(AX2&lt;Assumptions!$F$21,0,1)</f>
        <v>8695.408974</v>
      </c>
      <c r="AY20" s="54">
        <f>-AY$27*(1+Assumptions!$AB$21)*IF(AY2&lt;Assumptions!$F$21,0,1)</f>
        <v>8695.408974</v>
      </c>
      <c r="AZ20" s="54">
        <f>-AZ$27*(1+Assumptions!$AB$21)*IF(AZ2&lt;Assumptions!$F$21,0,1)</f>
        <v>8956.271244</v>
      </c>
      <c r="BA20" s="54">
        <f>-BA$27*(1+Assumptions!$AB$21)*IF(BA2&lt;Assumptions!$F$21,0,1)</f>
        <v>8956.271244</v>
      </c>
      <c r="BB20" s="54">
        <f>-BB$27*(1+Assumptions!$AB$21)*IF(BB2&lt;Assumptions!$F$21,0,1)</f>
        <v>8956.271244</v>
      </c>
      <c r="BC20" s="54">
        <f>-BC$27*(1+Assumptions!$AB$21)*IF(BC2&lt;Assumptions!$F$21,0,1)</f>
        <v>8956.271244</v>
      </c>
      <c r="BD20" s="54">
        <f>-BD$27*(1+Assumptions!$AB$21)*IF(BD2&lt;Assumptions!$F$21,0,1)</f>
        <v>8956.271244</v>
      </c>
      <c r="BE20" s="54">
        <f>-BE$27*(1+Assumptions!$AB$21)*IF(BE2&lt;Assumptions!$F$21,0,1)</f>
        <v>8956.271244</v>
      </c>
      <c r="BF20" s="54">
        <f>-BF$27*(1+Assumptions!$AB$21)*IF(BF2&lt;Assumptions!$F$21,0,1)</f>
        <v>8956.271244</v>
      </c>
      <c r="BG20" s="54">
        <f>-BG$27*(1+Assumptions!$AB$21)*IF(BG2&lt;Assumptions!$F$21,0,1)</f>
        <v>8956.271244</v>
      </c>
      <c r="BH20" s="54">
        <f>-BH$27*(1+Assumptions!$AB$21)*IF(BH2&lt;Assumptions!$F$21,0,1)</f>
        <v>8956.271244</v>
      </c>
      <c r="BI20" s="54">
        <f>-BI$27*(1+Assumptions!$AB$21)*IF(BI2&lt;Assumptions!$F$21,0,1)</f>
        <v>8956.271244</v>
      </c>
      <c r="BJ20" s="54">
        <f>-BJ$27*(1+Assumptions!$AB$21)*IF(BJ2&lt;Assumptions!$F$21,0,1)</f>
        <v>8956.271244</v>
      </c>
      <c r="BK20" s="54">
        <f>-BK$27*(1+Assumptions!$AB$21)*IF(BK2&lt;Assumptions!$F$21,0,1)</f>
        <v>8956.271244</v>
      </c>
      <c r="BL20" s="54">
        <f>-BL$27*(1+Assumptions!$AB$21)*IF(BL2&lt;Assumptions!$F$21,0,1)</f>
        <v>9224.959381</v>
      </c>
      <c r="BM20" s="54">
        <f>-BM$27*(1+Assumptions!$AB$21)*IF(BM2&lt;Assumptions!$F$21,0,1)</f>
        <v>9224.959381</v>
      </c>
      <c r="BN20" s="54">
        <f>-BN$27*(1+Assumptions!$AB$21)*IF(BN2&lt;Assumptions!$F$21,0,1)</f>
        <v>9224.959381</v>
      </c>
      <c r="BO20" s="54">
        <f>-BO$27*(1+Assumptions!$AB$21)*IF(BO2&lt;Assumptions!$F$21,0,1)</f>
        <v>9224.959381</v>
      </c>
      <c r="BP20" s="54">
        <f>-BP$27*(1+Assumptions!$AB$21)*IF(BP2&lt;Assumptions!$F$21,0,1)</f>
        <v>9224.959381</v>
      </c>
      <c r="BQ20" s="54">
        <f>-BQ$27*(1+Assumptions!$AB$21)*IF(BQ2&lt;Assumptions!$F$21,0,1)</f>
        <v>9224.959381</v>
      </c>
      <c r="BR20" s="54">
        <f>-BR$27*(1+Assumptions!$AB$21)*IF(BR2&lt;Assumptions!$F$21,0,1)</f>
        <v>9224.959381</v>
      </c>
      <c r="BS20" s="54">
        <f>-BS$27*(1+Assumptions!$AB$21)*IF(BS2&lt;Assumptions!$F$21,0,1)</f>
        <v>9224.959381</v>
      </c>
      <c r="BT20" s="54">
        <f>-BT$27*(1+Assumptions!$AB$21)*IF(BT2&lt;Assumptions!$F$21,0,1)</f>
        <v>9224.959381</v>
      </c>
      <c r="BU20" s="54">
        <f>-BU$27*(1+Assumptions!$AB$21)*IF(BU2&lt;Assumptions!$F$21,0,1)</f>
        <v>9224.959381</v>
      </c>
      <c r="BV20" s="54">
        <f>-BV$27*(1+Assumptions!$AB$21)*IF(BV2&lt;Assumptions!$F$21,0,1)</f>
        <v>9224.959381</v>
      </c>
      <c r="BW20" s="54">
        <f>-BW$27*(1+Assumptions!$AB$21)*IF(BW2&lt;Assumptions!$F$21,0,1)</f>
        <v>9224.959381</v>
      </c>
      <c r="BX20" s="54">
        <f>-BX$27*(1+Assumptions!$AB$21)*IF(BX2&lt;Assumptions!$F$21,0,1)</f>
        <v>9501.708162</v>
      </c>
      <c r="BY20" s="54">
        <f>-BY$27*(1+Assumptions!$AB$21)*IF(BY2&lt;Assumptions!$F$21,0,1)</f>
        <v>9501.708162</v>
      </c>
      <c r="BZ20" s="54">
        <f>-BZ$27*(1+Assumptions!$AB$21)*IF(BZ2&lt;Assumptions!$F$21,0,1)</f>
        <v>9501.708162</v>
      </c>
      <c r="CA20" s="54">
        <f>-CA$27*(1+Assumptions!$AB$21)*IF(CA2&lt;Assumptions!$F$21,0,1)</f>
        <v>9501.708162</v>
      </c>
      <c r="CB20" s="54">
        <f>-CB$27*(1+Assumptions!$AB$21)*IF(CB2&lt;Assumptions!$F$21,0,1)</f>
        <v>9501.708162</v>
      </c>
      <c r="CC20" s="54">
        <f>-CC$27*(1+Assumptions!$AB$21)*IF(CC2&lt;Assumptions!$F$21,0,1)</f>
        <v>9501.708162</v>
      </c>
      <c r="CD20" s="54">
        <f>-CD$27*(1+Assumptions!$AB$21)*IF(CD2&lt;Assumptions!$F$21,0,1)</f>
        <v>9501.708162</v>
      </c>
      <c r="CE20" s="54">
        <f>-CE$27*(1+Assumptions!$AB$21)*IF(CE2&lt;Assumptions!$F$21,0,1)</f>
        <v>9501.708162</v>
      </c>
      <c r="CF20" s="54">
        <f>-CF$27*(1+Assumptions!$AB$21)*IF(CF2&lt;Assumptions!$F$21,0,1)</f>
        <v>9501.708162</v>
      </c>
      <c r="CG20" s="54">
        <f>-CG$27*(1+Assumptions!$AB$21)*IF(CG2&lt;Assumptions!$F$21,0,1)</f>
        <v>9501.708162</v>
      </c>
      <c r="CH20" s="54">
        <f>-CH$27*(1+Assumptions!$AB$21)*IF(CH2&lt;Assumptions!$F$21,0,1)</f>
        <v>9501.708162</v>
      </c>
      <c r="CI20" s="54">
        <f>-CI$27*(1+Assumptions!$AB$21)*IF(CI2&lt;Assumptions!$F$21,0,1)</f>
        <v>9501.708162</v>
      </c>
      <c r="CJ20" s="54">
        <f>-CJ$27*(1+Assumptions!$AB$21)*IF(CJ2&lt;Assumptions!$F$21,0,1)</f>
        <v>9786.759407</v>
      </c>
      <c r="CK20" s="54">
        <f>-CK$27*(1+Assumptions!$AB$21)*IF(CK2&lt;Assumptions!$F$21,0,1)</f>
        <v>9786.759407</v>
      </c>
      <c r="CL20" s="54">
        <f>-CL$27*(1+Assumptions!$AB$21)*IF(CL2&lt;Assumptions!$F$21,0,1)</f>
        <v>9786.759407</v>
      </c>
      <c r="CM20" s="54">
        <f>-CM$27*(1+Assumptions!$AB$21)*IF(CM2&lt;Assumptions!$F$21,0,1)</f>
        <v>9786.759407</v>
      </c>
      <c r="CN20" s="54">
        <f>-CN$27*(1+Assumptions!$AB$21)*IF(CN2&lt;Assumptions!$F$21,0,1)</f>
        <v>9786.759407</v>
      </c>
      <c r="CO20" s="54">
        <f>-CO$27*(1+Assumptions!$AB$21)*IF(CO2&lt;Assumptions!$F$21,0,1)</f>
        <v>9786.759407</v>
      </c>
      <c r="CP20" s="54">
        <f>-CP$27*(1+Assumptions!$AB$21)*IF(CP2&lt;Assumptions!$F$21,0,1)</f>
        <v>9786.759407</v>
      </c>
      <c r="CQ20" s="54">
        <f>-CQ$27*(1+Assumptions!$AB$21)*IF(CQ2&lt;Assumptions!$F$21,0,1)</f>
        <v>9786.759407</v>
      </c>
      <c r="CR20" s="54">
        <f>-CR$27*(1+Assumptions!$AB$21)*IF(CR2&lt;Assumptions!$F$21,0,1)</f>
        <v>9786.759407</v>
      </c>
      <c r="CS20" s="54">
        <f>-CS$27*(1+Assumptions!$AB$21)*IF(CS2&lt;Assumptions!$F$21,0,1)</f>
        <v>9786.759407</v>
      </c>
      <c r="CT20" s="54">
        <f>-CT$27*(1+Assumptions!$AB$21)*IF(CT2&lt;Assumptions!$F$21,0,1)</f>
        <v>9786.759407</v>
      </c>
      <c r="CU20" s="54">
        <f>-CU$27*(1+Assumptions!$AB$21)*IF(CU2&lt;Assumptions!$F$21,0,1)</f>
        <v>9786.759407</v>
      </c>
      <c r="CV20" s="54">
        <f>-CV$27*(1+Assumptions!$AB$21)*IF(CV2&lt;Assumptions!$F$21,0,1)</f>
        <v>10080.36219</v>
      </c>
      <c r="CW20" s="54">
        <f>-CW$27*(1+Assumptions!$AB$21)*IF(CW2&lt;Assumptions!$F$21,0,1)</f>
        <v>10080.36219</v>
      </c>
      <c r="CX20" s="54">
        <f>-CX$27*(1+Assumptions!$AB$21)*IF(CX2&lt;Assumptions!$F$21,0,1)</f>
        <v>10080.36219</v>
      </c>
      <c r="CY20" s="54">
        <f>-CY$27*(1+Assumptions!$AB$21)*IF(CY2&lt;Assumptions!$F$21,0,1)</f>
        <v>10080.36219</v>
      </c>
      <c r="CZ20" s="54">
        <f>-CZ$27*(1+Assumptions!$AB$21)*IF(CZ2&lt;Assumptions!$F$21,0,1)</f>
        <v>10080.36219</v>
      </c>
      <c r="DA20" s="54">
        <f>-DA$27*(1+Assumptions!$AB$21)*IF(DA2&lt;Assumptions!$F$21,0,1)</f>
        <v>10080.36219</v>
      </c>
      <c r="DB20" s="54">
        <f>-DB$27*(1+Assumptions!$AB$21)*IF(DB2&lt;Assumptions!$F$21,0,1)</f>
        <v>10080.36219</v>
      </c>
      <c r="DC20" s="54">
        <f>-DC$27*(1+Assumptions!$AB$21)*IF(DC2&lt;Assumptions!$F$21,0,1)</f>
        <v>10080.36219</v>
      </c>
      <c r="DD20" s="54">
        <f>-DD$27*(1+Assumptions!$AB$21)*IF(DD2&lt;Assumptions!$F$21,0,1)</f>
        <v>10080.36219</v>
      </c>
      <c r="DE20" s="54">
        <f>-DE$27*(1+Assumptions!$AB$21)*IF(DE2&lt;Assumptions!$F$21,0,1)</f>
        <v>10080.36219</v>
      </c>
      <c r="DF20" s="54">
        <f>-DF$27*(1+Assumptions!$AB$21)*IF(DF2&lt;Assumptions!$F$21,0,1)</f>
        <v>10080.36219</v>
      </c>
      <c r="DG20" s="54">
        <f>-DG$27*(1+Assumptions!$AB$21)*IF(DG2&lt;Assumptions!$F$21,0,1)</f>
        <v>10080.36219</v>
      </c>
      <c r="DH20" s="54">
        <f>-DH$27*(1+Assumptions!$AB$21)*IF(DH2&lt;Assumptions!$F$21,0,1)</f>
        <v>10382.77306</v>
      </c>
      <c r="DI20" s="54">
        <f>-DI$27*(1+Assumptions!$AB$21)*IF(DI2&lt;Assumptions!$F$21,0,1)</f>
        <v>10382.77306</v>
      </c>
      <c r="DJ20" s="54">
        <f>-DJ$27*(1+Assumptions!$AB$21)*IF(DJ2&lt;Assumptions!$F$21,0,1)</f>
        <v>10382.77306</v>
      </c>
      <c r="DK20" s="54">
        <f>-DK$27*(1+Assumptions!$AB$21)*IF(DK2&lt;Assumptions!$F$21,0,1)</f>
        <v>10382.77306</v>
      </c>
      <c r="DL20" s="54">
        <f>-DL$27*(1+Assumptions!$AB$21)*IF(DL2&lt;Assumptions!$F$21,0,1)</f>
        <v>10382.77306</v>
      </c>
      <c r="DM20" s="54">
        <f>-DM$27*(1+Assumptions!$AB$21)*IF(DM2&lt;Assumptions!$F$21,0,1)</f>
        <v>10382.77306</v>
      </c>
      <c r="DN20" s="54">
        <f>-DN$27*(1+Assumptions!$AB$21)*IF(DN2&lt;Assumptions!$F$21,0,1)</f>
        <v>10382.77306</v>
      </c>
      <c r="DO20" s="54">
        <f>-DO$27*(1+Assumptions!$AB$21)*IF(DO2&lt;Assumptions!$F$21,0,1)</f>
        <v>10382.77306</v>
      </c>
      <c r="DP20" s="54">
        <f>-DP$27*(1+Assumptions!$AB$21)*IF(DP2&lt;Assumptions!$F$21,0,1)</f>
        <v>10382.77306</v>
      </c>
      <c r="DQ20" s="54">
        <f>-DQ$27*(1+Assumptions!$AB$21)*IF(DQ2&lt;Assumptions!$F$21,0,1)</f>
        <v>10382.77306</v>
      </c>
      <c r="DR20" s="54">
        <f>-DR$27*(1+Assumptions!$AB$21)*IF(DR2&lt;Assumptions!$F$21,0,1)</f>
        <v>10382.77306</v>
      </c>
      <c r="DS20" s="54">
        <f>-DS$27*(1+Assumptions!$AB$21)*IF(DS2&lt;Assumptions!$F$21,0,1)</f>
        <v>10382.77306</v>
      </c>
      <c r="DT20" s="54">
        <f>-DT$27*(1+Assumptions!$AB$21)*IF(DT2&lt;Assumptions!$F$21,0,1)</f>
        <v>10694.25625</v>
      </c>
      <c r="DU20" s="54">
        <f>-DU$27*(1+Assumptions!$AB$21)*IF(DU2&lt;Assumptions!$F$21,0,1)</f>
        <v>10694.25625</v>
      </c>
      <c r="DV20" s="54">
        <f>-DV$27*(1+Assumptions!$AB$21)*IF(DV2&lt;Assumptions!$F$21,0,1)</f>
        <v>10694.25625</v>
      </c>
      <c r="DW20" s="54">
        <f>-DW$27*(1+Assumptions!$AB$21)*IF(DW2&lt;Assumptions!$F$21,0,1)</f>
        <v>10694.25625</v>
      </c>
      <c r="DX20" s="54">
        <f>-DX$27*(1+Assumptions!$AB$21)*IF(DX2&lt;Assumptions!$F$21,0,1)</f>
        <v>10694.25625</v>
      </c>
      <c r="DY20" s="54">
        <f>-DY$27*(1+Assumptions!$AB$21)*IF(DY2&lt;Assumptions!$F$21,0,1)</f>
        <v>10694.25625</v>
      </c>
      <c r="DZ20" s="54">
        <f>-DZ$27*(1+Assumptions!$AB$21)*IF(DZ2&lt;Assumptions!$F$21,0,1)</f>
        <v>10694.25625</v>
      </c>
      <c r="EA20" s="54">
        <f>-EA$27*(1+Assumptions!$AB$21)*IF(EA2&lt;Assumptions!$F$21,0,1)</f>
        <v>10694.25625</v>
      </c>
      <c r="EB20" s="54">
        <f>-EB$27*(1+Assumptions!$AB$21)*IF(EB2&lt;Assumptions!$F$21,0,1)</f>
        <v>10694.25625</v>
      </c>
      <c r="EC20" s="54">
        <f>-EC$27*(1+Assumptions!$AB$21)*IF(EC2&lt;Assumptions!$F$21,0,1)</f>
        <v>10694.25625</v>
      </c>
      <c r="ED20" s="54">
        <f>-ED$27*(1+Assumptions!$AB$21)*IF(ED2&lt;Assumptions!$F$21,0,1)</f>
        <v>10694.25625</v>
      </c>
      <c r="EE20" s="54">
        <f>-EE$27*(1+Assumptions!$AB$21)*IF(EE2&lt;Assumptions!$F$21,0,1)</f>
        <v>10694.25625</v>
      </c>
    </row>
    <row r="21" ht="15.75" customHeight="1">
      <c r="A21" s="1"/>
      <c r="B21" s="47" t="s">
        <v>68</v>
      </c>
      <c r="C21" s="47"/>
      <c r="D21" s="213">
        <f t="shared" ref="D21:EE21" si="5">SUM(D18:D20)</f>
        <v>193822.4357</v>
      </c>
      <c r="E21" s="213">
        <f t="shared" si="5"/>
        <v>193822.4357</v>
      </c>
      <c r="F21" s="213">
        <f t="shared" si="5"/>
        <v>193822.4357</v>
      </c>
      <c r="G21" s="213">
        <f t="shared" si="5"/>
        <v>193822.4357</v>
      </c>
      <c r="H21" s="213">
        <f t="shared" si="5"/>
        <v>193822.4357</v>
      </c>
      <c r="I21" s="213">
        <f t="shared" si="5"/>
        <v>193822.4357</v>
      </c>
      <c r="J21" s="213">
        <f t="shared" si="5"/>
        <v>193822.4357</v>
      </c>
      <c r="K21" s="213">
        <f t="shared" si="5"/>
        <v>193822.4357</v>
      </c>
      <c r="L21" s="213">
        <f t="shared" si="5"/>
        <v>193822.4357</v>
      </c>
      <c r="M21" s="213">
        <f t="shared" si="5"/>
        <v>193822.4357</v>
      </c>
      <c r="N21" s="213">
        <f t="shared" si="5"/>
        <v>193822.4357</v>
      </c>
      <c r="O21" s="213">
        <f t="shared" si="5"/>
        <v>193822.4357</v>
      </c>
      <c r="P21" s="213">
        <f t="shared" si="5"/>
        <v>213589.2385</v>
      </c>
      <c r="Q21" s="213">
        <f t="shared" si="5"/>
        <v>213589.2385</v>
      </c>
      <c r="R21" s="213">
        <f t="shared" si="5"/>
        <v>213589.2385</v>
      </c>
      <c r="S21" s="213">
        <f t="shared" si="5"/>
        <v>213589.2385</v>
      </c>
      <c r="T21" s="213">
        <f t="shared" si="5"/>
        <v>213589.2385</v>
      </c>
      <c r="U21" s="213">
        <f t="shared" si="5"/>
        <v>213589.2385</v>
      </c>
      <c r="V21" s="213">
        <f t="shared" si="5"/>
        <v>213589.2385</v>
      </c>
      <c r="W21" s="213">
        <f t="shared" si="5"/>
        <v>213589.2385</v>
      </c>
      <c r="X21" s="213">
        <f t="shared" si="5"/>
        <v>213589.2385</v>
      </c>
      <c r="Y21" s="213">
        <f t="shared" si="5"/>
        <v>213589.2385</v>
      </c>
      <c r="Z21" s="213">
        <f t="shared" si="5"/>
        <v>213589.2385</v>
      </c>
      <c r="AA21" s="213">
        <f t="shared" si="5"/>
        <v>213589.2385</v>
      </c>
      <c r="AB21" s="213">
        <f t="shared" si="5"/>
        <v>219996.9156</v>
      </c>
      <c r="AC21" s="213">
        <f t="shared" si="5"/>
        <v>219996.9156</v>
      </c>
      <c r="AD21" s="213">
        <f t="shared" si="5"/>
        <v>219996.9156</v>
      </c>
      <c r="AE21" s="213">
        <f t="shared" si="5"/>
        <v>219996.9156</v>
      </c>
      <c r="AF21" s="213">
        <f t="shared" si="5"/>
        <v>219996.9156</v>
      </c>
      <c r="AG21" s="213">
        <f t="shared" si="5"/>
        <v>219996.9156</v>
      </c>
      <c r="AH21" s="213">
        <f t="shared" si="5"/>
        <v>219996.9156</v>
      </c>
      <c r="AI21" s="213">
        <f t="shared" si="5"/>
        <v>219996.9156</v>
      </c>
      <c r="AJ21" s="213">
        <f t="shared" si="5"/>
        <v>219996.9156</v>
      </c>
      <c r="AK21" s="213">
        <f t="shared" si="5"/>
        <v>219996.9156</v>
      </c>
      <c r="AL21" s="213">
        <f t="shared" si="5"/>
        <v>219996.9156</v>
      </c>
      <c r="AM21" s="213">
        <f t="shared" si="5"/>
        <v>219996.9156</v>
      </c>
      <c r="AN21" s="213">
        <f t="shared" si="5"/>
        <v>226596.8231</v>
      </c>
      <c r="AO21" s="213">
        <f t="shared" si="5"/>
        <v>226596.8231</v>
      </c>
      <c r="AP21" s="213">
        <f t="shared" si="5"/>
        <v>226596.8231</v>
      </c>
      <c r="AQ21" s="213">
        <f t="shared" si="5"/>
        <v>226596.8231</v>
      </c>
      <c r="AR21" s="213">
        <f t="shared" si="5"/>
        <v>226596.8231</v>
      </c>
      <c r="AS21" s="213">
        <f t="shared" si="5"/>
        <v>226596.8231</v>
      </c>
      <c r="AT21" s="213">
        <f t="shared" si="5"/>
        <v>226596.8231</v>
      </c>
      <c r="AU21" s="213">
        <f t="shared" si="5"/>
        <v>226596.8231</v>
      </c>
      <c r="AV21" s="213">
        <f t="shared" si="5"/>
        <v>226596.8231</v>
      </c>
      <c r="AW21" s="213">
        <f t="shared" si="5"/>
        <v>226596.8231</v>
      </c>
      <c r="AX21" s="213">
        <f t="shared" si="5"/>
        <v>226596.8231</v>
      </c>
      <c r="AY21" s="213">
        <f t="shared" si="5"/>
        <v>226596.8231</v>
      </c>
      <c r="AZ21" s="213">
        <f t="shared" si="5"/>
        <v>233394.7278</v>
      </c>
      <c r="BA21" s="213">
        <f t="shared" si="5"/>
        <v>233394.7278</v>
      </c>
      <c r="BB21" s="213">
        <f t="shared" si="5"/>
        <v>233394.7278</v>
      </c>
      <c r="BC21" s="213">
        <f t="shared" si="5"/>
        <v>233394.7278</v>
      </c>
      <c r="BD21" s="213">
        <f t="shared" si="5"/>
        <v>233394.7278</v>
      </c>
      <c r="BE21" s="213">
        <f t="shared" si="5"/>
        <v>233394.7278</v>
      </c>
      <c r="BF21" s="213">
        <f t="shared" si="5"/>
        <v>233394.7278</v>
      </c>
      <c r="BG21" s="213">
        <f t="shared" si="5"/>
        <v>233394.7278</v>
      </c>
      <c r="BH21" s="213">
        <f t="shared" si="5"/>
        <v>233394.7278</v>
      </c>
      <c r="BI21" s="213">
        <f t="shared" si="5"/>
        <v>233394.7278</v>
      </c>
      <c r="BJ21" s="213">
        <f t="shared" si="5"/>
        <v>233394.7278</v>
      </c>
      <c r="BK21" s="213">
        <f t="shared" si="5"/>
        <v>233394.7278</v>
      </c>
      <c r="BL21" s="213">
        <f t="shared" si="5"/>
        <v>240396.5696</v>
      </c>
      <c r="BM21" s="213">
        <f t="shared" si="5"/>
        <v>240396.5696</v>
      </c>
      <c r="BN21" s="213">
        <f t="shared" si="5"/>
        <v>240396.5696</v>
      </c>
      <c r="BO21" s="213">
        <f t="shared" si="5"/>
        <v>240396.5696</v>
      </c>
      <c r="BP21" s="213">
        <f t="shared" si="5"/>
        <v>240396.5696</v>
      </c>
      <c r="BQ21" s="213">
        <f t="shared" si="5"/>
        <v>240396.5696</v>
      </c>
      <c r="BR21" s="213">
        <f t="shared" si="5"/>
        <v>240396.5696</v>
      </c>
      <c r="BS21" s="213">
        <f t="shared" si="5"/>
        <v>240396.5696</v>
      </c>
      <c r="BT21" s="213">
        <f t="shared" si="5"/>
        <v>240396.5696</v>
      </c>
      <c r="BU21" s="213">
        <f t="shared" si="5"/>
        <v>240396.5696</v>
      </c>
      <c r="BV21" s="213">
        <f t="shared" si="5"/>
        <v>240396.5696</v>
      </c>
      <c r="BW21" s="213">
        <f t="shared" si="5"/>
        <v>240396.5696</v>
      </c>
      <c r="BX21" s="213">
        <f t="shared" si="5"/>
        <v>247608.4667</v>
      </c>
      <c r="BY21" s="213">
        <f t="shared" si="5"/>
        <v>247608.4667</v>
      </c>
      <c r="BZ21" s="213">
        <f t="shared" si="5"/>
        <v>247608.4667</v>
      </c>
      <c r="CA21" s="213">
        <f t="shared" si="5"/>
        <v>247608.4667</v>
      </c>
      <c r="CB21" s="213">
        <f t="shared" si="5"/>
        <v>247608.4667</v>
      </c>
      <c r="CC21" s="213">
        <f t="shared" si="5"/>
        <v>247608.4667</v>
      </c>
      <c r="CD21" s="213">
        <f t="shared" si="5"/>
        <v>247608.4667</v>
      </c>
      <c r="CE21" s="213">
        <f t="shared" si="5"/>
        <v>247608.4667</v>
      </c>
      <c r="CF21" s="213">
        <f t="shared" si="5"/>
        <v>247608.4667</v>
      </c>
      <c r="CG21" s="213">
        <f t="shared" si="5"/>
        <v>247608.4667</v>
      </c>
      <c r="CH21" s="213">
        <f t="shared" si="5"/>
        <v>247608.4667</v>
      </c>
      <c r="CI21" s="213">
        <f t="shared" si="5"/>
        <v>247608.4667</v>
      </c>
      <c r="CJ21" s="213">
        <f t="shared" si="5"/>
        <v>255036.7207</v>
      </c>
      <c r="CK21" s="213">
        <f t="shared" si="5"/>
        <v>255036.7207</v>
      </c>
      <c r="CL21" s="213">
        <f t="shared" si="5"/>
        <v>255036.7207</v>
      </c>
      <c r="CM21" s="213">
        <f t="shared" si="5"/>
        <v>255036.7207</v>
      </c>
      <c r="CN21" s="213">
        <f t="shared" si="5"/>
        <v>255036.7207</v>
      </c>
      <c r="CO21" s="213">
        <f t="shared" si="5"/>
        <v>255036.7207</v>
      </c>
      <c r="CP21" s="213">
        <f t="shared" si="5"/>
        <v>255036.7207</v>
      </c>
      <c r="CQ21" s="213">
        <f t="shared" si="5"/>
        <v>255036.7207</v>
      </c>
      <c r="CR21" s="213">
        <f t="shared" si="5"/>
        <v>255036.7207</v>
      </c>
      <c r="CS21" s="213">
        <f t="shared" si="5"/>
        <v>255036.7207</v>
      </c>
      <c r="CT21" s="213">
        <f t="shared" si="5"/>
        <v>255036.7207</v>
      </c>
      <c r="CU21" s="213">
        <f t="shared" si="5"/>
        <v>255036.7207</v>
      </c>
      <c r="CV21" s="213">
        <f t="shared" si="5"/>
        <v>262687.8224</v>
      </c>
      <c r="CW21" s="213">
        <f t="shared" si="5"/>
        <v>262687.8224</v>
      </c>
      <c r="CX21" s="213">
        <f t="shared" si="5"/>
        <v>262687.8224</v>
      </c>
      <c r="CY21" s="213">
        <f t="shared" si="5"/>
        <v>262687.8224</v>
      </c>
      <c r="CZ21" s="213">
        <f t="shared" si="5"/>
        <v>262687.8224</v>
      </c>
      <c r="DA21" s="213">
        <f t="shared" si="5"/>
        <v>262687.8224</v>
      </c>
      <c r="DB21" s="213">
        <f t="shared" si="5"/>
        <v>262687.8224</v>
      </c>
      <c r="DC21" s="213">
        <f t="shared" si="5"/>
        <v>262687.8224</v>
      </c>
      <c r="DD21" s="213">
        <f t="shared" si="5"/>
        <v>262687.8224</v>
      </c>
      <c r="DE21" s="213">
        <f t="shared" si="5"/>
        <v>262687.8224</v>
      </c>
      <c r="DF21" s="213">
        <f t="shared" si="5"/>
        <v>262687.8224</v>
      </c>
      <c r="DG21" s="213">
        <f t="shared" si="5"/>
        <v>262687.8224</v>
      </c>
      <c r="DH21" s="213">
        <f t="shared" si="5"/>
        <v>263277.0896</v>
      </c>
      <c r="DI21" s="213">
        <f t="shared" si="5"/>
        <v>263277.0896</v>
      </c>
      <c r="DJ21" s="213">
        <f t="shared" si="5"/>
        <v>263277.0896</v>
      </c>
      <c r="DK21" s="213">
        <f t="shared" si="5"/>
        <v>263277.0896</v>
      </c>
      <c r="DL21" s="213">
        <f t="shared" si="5"/>
        <v>263277.0896</v>
      </c>
      <c r="DM21" s="213">
        <f t="shared" si="5"/>
        <v>263277.0896</v>
      </c>
      <c r="DN21" s="213">
        <f t="shared" si="5"/>
        <v>263277.0896</v>
      </c>
      <c r="DO21" s="213">
        <f t="shared" si="5"/>
        <v>263277.0896</v>
      </c>
      <c r="DP21" s="213">
        <f t="shared" si="5"/>
        <v>263277.0896</v>
      </c>
      <c r="DQ21" s="213">
        <f t="shared" si="5"/>
        <v>263277.0896</v>
      </c>
      <c r="DR21" s="213">
        <f t="shared" si="5"/>
        <v>263277.0896</v>
      </c>
      <c r="DS21" s="213">
        <f t="shared" si="5"/>
        <v>263277.0896</v>
      </c>
      <c r="DT21" s="213">
        <f t="shared" si="5"/>
        <v>278685.5107</v>
      </c>
      <c r="DU21" s="213">
        <f t="shared" si="5"/>
        <v>278685.5107</v>
      </c>
      <c r="DV21" s="213">
        <f t="shared" si="5"/>
        <v>278685.5107</v>
      </c>
      <c r="DW21" s="213">
        <f t="shared" si="5"/>
        <v>278685.5107</v>
      </c>
      <c r="DX21" s="213">
        <f t="shared" si="5"/>
        <v>278685.5107</v>
      </c>
      <c r="DY21" s="213">
        <f t="shared" si="5"/>
        <v>278685.5107</v>
      </c>
      <c r="DZ21" s="213">
        <f t="shared" si="5"/>
        <v>278685.5107</v>
      </c>
      <c r="EA21" s="213">
        <f t="shared" si="5"/>
        <v>278685.5107</v>
      </c>
      <c r="EB21" s="213">
        <f t="shared" si="5"/>
        <v>278685.5107</v>
      </c>
      <c r="EC21" s="213">
        <f t="shared" si="5"/>
        <v>278685.5107</v>
      </c>
      <c r="ED21" s="213">
        <f t="shared" si="5"/>
        <v>278685.5107</v>
      </c>
      <c r="EE21" s="213">
        <f t="shared" si="5"/>
        <v>278685.5107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9" t="s">
        <v>69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3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General &amp; Admin</v>
      </c>
      <c r="D24" s="54">
        <f t="array" ref="D24">-(IF(D$2=1,Assumptions!$AF25/12,-(SUMIF($D$2:$EE$2,D$2-1,$D24:$EE24)/12)*(1+XLOOKUP(D$2,Assumptions!$C$94:$M$94,Assumptions!$C$98:$M$98))))</f>
        <v>-1437.043125</v>
      </c>
      <c r="E24" s="54">
        <f t="array" ref="E24">-(IF(E$2=1,Assumptions!$AF25/12,-(SUMIF($D$2:$EE$2,E$2-1,$D24:$EE24)/12)*(1+XLOOKUP(E$2,Assumptions!$C$94:$M$94,Assumptions!$C$98:$M$98))))</f>
        <v>-1437.043125</v>
      </c>
      <c r="F24" s="54">
        <f t="array" ref="F24">-(IF(F$2=1,Assumptions!$AF25/12,-(SUMIF($D$2:$EE$2,F$2-1,$D24:$EE24)/12)*(1+XLOOKUP(F$2,Assumptions!$C$94:$M$94,Assumptions!$C$98:$M$98))))</f>
        <v>-1437.043125</v>
      </c>
      <c r="G24" s="54">
        <f t="array" ref="G24">-(IF(G$2=1,Assumptions!$AF25/12,-(SUMIF($D$2:$EE$2,G$2-1,$D24:$EE24)/12)*(1+XLOOKUP(G$2,Assumptions!$C$94:$M$94,Assumptions!$C$98:$M$98))))</f>
        <v>-1437.043125</v>
      </c>
      <c r="H24" s="54">
        <f t="array" ref="H24">-(IF(H$2=1,Assumptions!$AF25/12,-(SUMIF($D$2:$EE$2,H$2-1,$D24:$EE24)/12)*(1+XLOOKUP(H$2,Assumptions!$C$94:$M$94,Assumptions!$C$98:$M$98))))</f>
        <v>-1437.043125</v>
      </c>
      <c r="I24" s="54">
        <f t="array" ref="I24">-(IF(I$2=1,Assumptions!$AF25/12,-(SUMIF($D$2:$EE$2,I$2-1,$D24:$EE24)/12)*(1+XLOOKUP(I$2,Assumptions!$C$94:$M$94,Assumptions!$C$98:$M$98))))</f>
        <v>-1437.043125</v>
      </c>
      <c r="J24" s="54">
        <f t="array" ref="J24">-(IF(J$2=1,Assumptions!$AF25/12,-(SUMIF($D$2:$EE$2,J$2-1,$D24:$EE24)/12)*(1+XLOOKUP(J$2,Assumptions!$C$94:$M$94,Assumptions!$C$98:$M$98))))</f>
        <v>-1437.043125</v>
      </c>
      <c r="K24" s="54">
        <f t="array" ref="K24">-(IF(K$2=1,Assumptions!$AF25/12,-(SUMIF($D$2:$EE$2,K$2-1,$D24:$EE24)/12)*(1+XLOOKUP(K$2,Assumptions!$C$94:$M$94,Assumptions!$C$98:$M$98))))</f>
        <v>-1437.043125</v>
      </c>
      <c r="L24" s="54">
        <f t="array" ref="L24">-(IF(L$2=1,Assumptions!$AF25/12,-(SUMIF($D$2:$EE$2,L$2-1,$D24:$EE24)/12)*(1+XLOOKUP(L$2,Assumptions!$C$94:$M$94,Assumptions!$C$98:$M$98))))</f>
        <v>-1437.043125</v>
      </c>
      <c r="M24" s="54">
        <f t="array" ref="M24">-(IF(M$2=1,Assumptions!$AF25/12,-(SUMIF($D$2:$EE$2,M$2-1,$D24:$EE24)/12)*(1+XLOOKUP(M$2,Assumptions!$C$94:$M$94,Assumptions!$C$98:$M$98))))</f>
        <v>-1437.043125</v>
      </c>
      <c r="N24" s="54">
        <f t="array" ref="N24">-(IF(N$2=1,Assumptions!$AF25/12,-(SUMIF($D$2:$EE$2,N$2-1,$D24:$EE24)/12)*(1+XLOOKUP(N$2,Assumptions!$C$94:$M$94,Assumptions!$C$98:$M$98))))</f>
        <v>-1437.043125</v>
      </c>
      <c r="O24" s="54">
        <f t="array" ref="O24">-(IF(O$2=1,Assumptions!$AF25/12,-(SUMIF($D$2:$EE$2,O$2-1,$D24:$EE24)/12)*(1+XLOOKUP(O$2,Assumptions!$C$94:$M$94,Assumptions!$C$98:$M$98))))</f>
        <v>-1437.043125</v>
      </c>
      <c r="P24" s="54">
        <f t="array" ref="P24">-(IF(P$2=1,Assumptions!$AF25/12,-(SUMIF($D$2:$EE$2,P$2-1,$D24:$EE24)/12)*(1+XLOOKUP(P$2,Assumptions!$C$94:$M$94,Assumptions!$C$98:$M$98))))</f>
        <v>-1480.154419</v>
      </c>
      <c r="Q24" s="54">
        <f t="array" ref="Q24">-(IF(Q$2=1,Assumptions!$AF25/12,-(SUMIF($D$2:$EE$2,Q$2-1,$D24:$EE24)/12)*(1+XLOOKUP(Q$2,Assumptions!$C$94:$M$94,Assumptions!$C$98:$M$98))))</f>
        <v>-1480.154419</v>
      </c>
      <c r="R24" s="54">
        <f t="array" ref="R24">-(IF(R$2=1,Assumptions!$AF25/12,-(SUMIF($D$2:$EE$2,R$2-1,$D24:$EE24)/12)*(1+XLOOKUP(R$2,Assumptions!$C$94:$M$94,Assumptions!$C$98:$M$98))))</f>
        <v>-1480.154419</v>
      </c>
      <c r="S24" s="54">
        <f t="array" ref="S24">-(IF(S$2=1,Assumptions!$AF25/12,-(SUMIF($D$2:$EE$2,S$2-1,$D24:$EE24)/12)*(1+XLOOKUP(S$2,Assumptions!$C$94:$M$94,Assumptions!$C$98:$M$98))))</f>
        <v>-1480.154419</v>
      </c>
      <c r="T24" s="54">
        <f t="array" ref="T24">-(IF(T$2=1,Assumptions!$AF25/12,-(SUMIF($D$2:$EE$2,T$2-1,$D24:$EE24)/12)*(1+XLOOKUP(T$2,Assumptions!$C$94:$M$94,Assumptions!$C$98:$M$98))))</f>
        <v>-1480.154419</v>
      </c>
      <c r="U24" s="54">
        <f t="array" ref="U24">-(IF(U$2=1,Assumptions!$AF25/12,-(SUMIF($D$2:$EE$2,U$2-1,$D24:$EE24)/12)*(1+XLOOKUP(U$2,Assumptions!$C$94:$M$94,Assumptions!$C$98:$M$98))))</f>
        <v>-1480.154419</v>
      </c>
      <c r="V24" s="54">
        <f t="array" ref="V24">-(IF(V$2=1,Assumptions!$AF25/12,-(SUMIF($D$2:$EE$2,V$2-1,$D24:$EE24)/12)*(1+XLOOKUP(V$2,Assumptions!$C$94:$M$94,Assumptions!$C$98:$M$98))))</f>
        <v>-1480.154419</v>
      </c>
      <c r="W24" s="54">
        <f t="array" ref="W24">-(IF(W$2=1,Assumptions!$AF25/12,-(SUMIF($D$2:$EE$2,W$2-1,$D24:$EE24)/12)*(1+XLOOKUP(W$2,Assumptions!$C$94:$M$94,Assumptions!$C$98:$M$98))))</f>
        <v>-1480.154419</v>
      </c>
      <c r="X24" s="54">
        <f t="array" ref="X24">-(IF(X$2=1,Assumptions!$AF25/12,-(SUMIF($D$2:$EE$2,X$2-1,$D24:$EE24)/12)*(1+XLOOKUP(X$2,Assumptions!$C$94:$M$94,Assumptions!$C$98:$M$98))))</f>
        <v>-1480.154419</v>
      </c>
      <c r="Y24" s="54">
        <f t="array" ref="Y24">-(IF(Y$2=1,Assumptions!$AF25/12,-(SUMIF($D$2:$EE$2,Y$2-1,$D24:$EE24)/12)*(1+XLOOKUP(Y$2,Assumptions!$C$94:$M$94,Assumptions!$C$98:$M$98))))</f>
        <v>-1480.154419</v>
      </c>
      <c r="Z24" s="54">
        <f t="array" ref="Z24">-(IF(Z$2=1,Assumptions!$AF25/12,-(SUMIF($D$2:$EE$2,Z$2-1,$D24:$EE24)/12)*(1+XLOOKUP(Z$2,Assumptions!$C$94:$M$94,Assumptions!$C$98:$M$98))))</f>
        <v>-1480.154419</v>
      </c>
      <c r="AA24" s="54">
        <f t="array" ref="AA24">-(IF(AA$2=1,Assumptions!$AF25/12,-(SUMIF($D$2:$EE$2,AA$2-1,$D24:$EE24)/12)*(1+XLOOKUP(AA$2,Assumptions!$C$94:$M$94,Assumptions!$C$98:$M$98))))</f>
        <v>-1480.154419</v>
      </c>
      <c r="AB24" s="54">
        <f t="array" ref="AB24">-(IF(AB$2=1,Assumptions!$AF25/12,-(SUMIF($D$2:$EE$2,AB$2-1,$D24:$EE24)/12)*(1+XLOOKUP(AB$2,Assumptions!$C$94:$M$94,Assumptions!$C$98:$M$98))))</f>
        <v>-1524.559051</v>
      </c>
      <c r="AC24" s="54">
        <f t="array" ref="AC24">-(IF(AC$2=1,Assumptions!$AF25/12,-(SUMIF($D$2:$EE$2,AC$2-1,$D24:$EE24)/12)*(1+XLOOKUP(AC$2,Assumptions!$C$94:$M$94,Assumptions!$C$98:$M$98))))</f>
        <v>-1524.559051</v>
      </c>
      <c r="AD24" s="54">
        <f t="array" ref="AD24">-(IF(AD$2=1,Assumptions!$AF25/12,-(SUMIF($D$2:$EE$2,AD$2-1,$D24:$EE24)/12)*(1+XLOOKUP(AD$2,Assumptions!$C$94:$M$94,Assumptions!$C$98:$M$98))))</f>
        <v>-1524.559051</v>
      </c>
      <c r="AE24" s="54">
        <f t="array" ref="AE24">-(IF(AE$2=1,Assumptions!$AF25/12,-(SUMIF($D$2:$EE$2,AE$2-1,$D24:$EE24)/12)*(1+XLOOKUP(AE$2,Assumptions!$C$94:$M$94,Assumptions!$C$98:$M$98))))</f>
        <v>-1524.559051</v>
      </c>
      <c r="AF24" s="54">
        <f t="array" ref="AF24">-(IF(AF$2=1,Assumptions!$AF25/12,-(SUMIF($D$2:$EE$2,AF$2-1,$D24:$EE24)/12)*(1+XLOOKUP(AF$2,Assumptions!$C$94:$M$94,Assumptions!$C$98:$M$98))))</f>
        <v>-1524.559051</v>
      </c>
      <c r="AG24" s="54">
        <f t="array" ref="AG24">-(IF(AG$2=1,Assumptions!$AF25/12,-(SUMIF($D$2:$EE$2,AG$2-1,$D24:$EE24)/12)*(1+XLOOKUP(AG$2,Assumptions!$C$94:$M$94,Assumptions!$C$98:$M$98))))</f>
        <v>-1524.559051</v>
      </c>
      <c r="AH24" s="54">
        <f t="array" ref="AH24">-(IF(AH$2=1,Assumptions!$AF25/12,-(SUMIF($D$2:$EE$2,AH$2-1,$D24:$EE24)/12)*(1+XLOOKUP(AH$2,Assumptions!$C$94:$M$94,Assumptions!$C$98:$M$98))))</f>
        <v>-1524.559051</v>
      </c>
      <c r="AI24" s="54">
        <f t="array" ref="AI24">-(IF(AI$2=1,Assumptions!$AF25/12,-(SUMIF($D$2:$EE$2,AI$2-1,$D24:$EE24)/12)*(1+XLOOKUP(AI$2,Assumptions!$C$94:$M$94,Assumptions!$C$98:$M$98))))</f>
        <v>-1524.559051</v>
      </c>
      <c r="AJ24" s="54">
        <f t="array" ref="AJ24">-(IF(AJ$2=1,Assumptions!$AF25/12,-(SUMIF($D$2:$EE$2,AJ$2-1,$D24:$EE24)/12)*(1+XLOOKUP(AJ$2,Assumptions!$C$94:$M$94,Assumptions!$C$98:$M$98))))</f>
        <v>-1524.559051</v>
      </c>
      <c r="AK24" s="54">
        <f t="array" ref="AK24">-(IF(AK$2=1,Assumptions!$AF25/12,-(SUMIF($D$2:$EE$2,AK$2-1,$D24:$EE24)/12)*(1+XLOOKUP(AK$2,Assumptions!$C$94:$M$94,Assumptions!$C$98:$M$98))))</f>
        <v>-1524.559051</v>
      </c>
      <c r="AL24" s="54">
        <f t="array" ref="AL24">-(IF(AL$2=1,Assumptions!$AF25/12,-(SUMIF($D$2:$EE$2,AL$2-1,$D24:$EE24)/12)*(1+XLOOKUP(AL$2,Assumptions!$C$94:$M$94,Assumptions!$C$98:$M$98))))</f>
        <v>-1524.559051</v>
      </c>
      <c r="AM24" s="54">
        <f t="array" ref="AM24">-(IF(AM$2=1,Assumptions!$AF25/12,-(SUMIF($D$2:$EE$2,AM$2-1,$D24:$EE24)/12)*(1+XLOOKUP(AM$2,Assumptions!$C$94:$M$94,Assumptions!$C$98:$M$98))))</f>
        <v>-1524.559051</v>
      </c>
      <c r="AN24" s="54">
        <f t="array" ref="AN24">-(IF(AN$2=1,Assumptions!$AF25/12,-(SUMIF($D$2:$EE$2,AN$2-1,$D24:$EE24)/12)*(1+XLOOKUP(AN$2,Assumptions!$C$94:$M$94,Assumptions!$C$98:$M$98))))</f>
        <v>-1570.295823</v>
      </c>
      <c r="AO24" s="54">
        <f t="array" ref="AO24">-(IF(AO$2=1,Assumptions!$AF25/12,-(SUMIF($D$2:$EE$2,AO$2-1,$D24:$EE24)/12)*(1+XLOOKUP(AO$2,Assumptions!$C$94:$M$94,Assumptions!$C$98:$M$98))))</f>
        <v>-1570.295823</v>
      </c>
      <c r="AP24" s="54">
        <f t="array" ref="AP24">-(IF(AP$2=1,Assumptions!$AF25/12,-(SUMIF($D$2:$EE$2,AP$2-1,$D24:$EE24)/12)*(1+XLOOKUP(AP$2,Assumptions!$C$94:$M$94,Assumptions!$C$98:$M$98))))</f>
        <v>-1570.295823</v>
      </c>
      <c r="AQ24" s="54">
        <f t="array" ref="AQ24">-(IF(AQ$2=1,Assumptions!$AF25/12,-(SUMIF($D$2:$EE$2,AQ$2-1,$D24:$EE24)/12)*(1+XLOOKUP(AQ$2,Assumptions!$C$94:$M$94,Assumptions!$C$98:$M$98))))</f>
        <v>-1570.295823</v>
      </c>
      <c r="AR24" s="54">
        <f t="array" ref="AR24">-(IF(AR$2=1,Assumptions!$AF25/12,-(SUMIF($D$2:$EE$2,AR$2-1,$D24:$EE24)/12)*(1+XLOOKUP(AR$2,Assumptions!$C$94:$M$94,Assumptions!$C$98:$M$98))))</f>
        <v>-1570.295823</v>
      </c>
      <c r="AS24" s="54">
        <f t="array" ref="AS24">-(IF(AS$2=1,Assumptions!$AF25/12,-(SUMIF($D$2:$EE$2,AS$2-1,$D24:$EE24)/12)*(1+XLOOKUP(AS$2,Assumptions!$C$94:$M$94,Assumptions!$C$98:$M$98))))</f>
        <v>-1570.295823</v>
      </c>
      <c r="AT24" s="54">
        <f t="array" ref="AT24">-(IF(AT$2=1,Assumptions!$AF25/12,-(SUMIF($D$2:$EE$2,AT$2-1,$D24:$EE24)/12)*(1+XLOOKUP(AT$2,Assumptions!$C$94:$M$94,Assumptions!$C$98:$M$98))))</f>
        <v>-1570.295823</v>
      </c>
      <c r="AU24" s="54">
        <f t="array" ref="AU24">-(IF(AU$2=1,Assumptions!$AF25/12,-(SUMIF($D$2:$EE$2,AU$2-1,$D24:$EE24)/12)*(1+XLOOKUP(AU$2,Assumptions!$C$94:$M$94,Assumptions!$C$98:$M$98))))</f>
        <v>-1570.295823</v>
      </c>
      <c r="AV24" s="54">
        <f t="array" ref="AV24">-(IF(AV$2=1,Assumptions!$AF25/12,-(SUMIF($D$2:$EE$2,AV$2-1,$D24:$EE24)/12)*(1+XLOOKUP(AV$2,Assumptions!$C$94:$M$94,Assumptions!$C$98:$M$98))))</f>
        <v>-1570.295823</v>
      </c>
      <c r="AW24" s="54">
        <f t="array" ref="AW24">-(IF(AW$2=1,Assumptions!$AF25/12,-(SUMIF($D$2:$EE$2,AW$2-1,$D24:$EE24)/12)*(1+XLOOKUP(AW$2,Assumptions!$C$94:$M$94,Assumptions!$C$98:$M$98))))</f>
        <v>-1570.295823</v>
      </c>
      <c r="AX24" s="54">
        <f t="array" ref="AX24">-(IF(AX$2=1,Assumptions!$AF25/12,-(SUMIF($D$2:$EE$2,AX$2-1,$D24:$EE24)/12)*(1+XLOOKUP(AX$2,Assumptions!$C$94:$M$94,Assumptions!$C$98:$M$98))))</f>
        <v>-1570.295823</v>
      </c>
      <c r="AY24" s="54">
        <f t="array" ref="AY24">-(IF(AY$2=1,Assumptions!$AF25/12,-(SUMIF($D$2:$EE$2,AY$2-1,$D24:$EE24)/12)*(1+XLOOKUP(AY$2,Assumptions!$C$94:$M$94,Assumptions!$C$98:$M$98))))</f>
        <v>-1570.295823</v>
      </c>
      <c r="AZ24" s="54">
        <f t="array" ref="AZ24">-(IF(AZ$2=1,Assumptions!$AF25/12,-(SUMIF($D$2:$EE$2,AZ$2-1,$D24:$EE24)/12)*(1+XLOOKUP(AZ$2,Assumptions!$C$94:$M$94,Assumptions!$C$98:$M$98))))</f>
        <v>-1617.404698</v>
      </c>
      <c r="BA24" s="54">
        <f t="array" ref="BA24">-(IF(BA$2=1,Assumptions!$AF25/12,-(SUMIF($D$2:$EE$2,BA$2-1,$D24:$EE24)/12)*(1+XLOOKUP(BA$2,Assumptions!$C$94:$M$94,Assumptions!$C$98:$M$98))))</f>
        <v>-1617.404698</v>
      </c>
      <c r="BB24" s="54">
        <f t="array" ref="BB24">-(IF(BB$2=1,Assumptions!$AF25/12,-(SUMIF($D$2:$EE$2,BB$2-1,$D24:$EE24)/12)*(1+XLOOKUP(BB$2,Assumptions!$C$94:$M$94,Assumptions!$C$98:$M$98))))</f>
        <v>-1617.404698</v>
      </c>
      <c r="BC24" s="54">
        <f t="array" ref="BC24">-(IF(BC$2=1,Assumptions!$AF25/12,-(SUMIF($D$2:$EE$2,BC$2-1,$D24:$EE24)/12)*(1+XLOOKUP(BC$2,Assumptions!$C$94:$M$94,Assumptions!$C$98:$M$98))))</f>
        <v>-1617.404698</v>
      </c>
      <c r="BD24" s="54">
        <f t="array" ref="BD24">-(IF(BD$2=1,Assumptions!$AF25/12,-(SUMIF($D$2:$EE$2,BD$2-1,$D24:$EE24)/12)*(1+XLOOKUP(BD$2,Assumptions!$C$94:$M$94,Assumptions!$C$98:$M$98))))</f>
        <v>-1617.404698</v>
      </c>
      <c r="BE24" s="54">
        <f t="array" ref="BE24">-(IF(BE$2=1,Assumptions!$AF25/12,-(SUMIF($D$2:$EE$2,BE$2-1,$D24:$EE24)/12)*(1+XLOOKUP(BE$2,Assumptions!$C$94:$M$94,Assumptions!$C$98:$M$98))))</f>
        <v>-1617.404698</v>
      </c>
      <c r="BF24" s="54">
        <f t="array" ref="BF24">-(IF(BF$2=1,Assumptions!$AF25/12,-(SUMIF($D$2:$EE$2,BF$2-1,$D24:$EE24)/12)*(1+XLOOKUP(BF$2,Assumptions!$C$94:$M$94,Assumptions!$C$98:$M$98))))</f>
        <v>-1617.404698</v>
      </c>
      <c r="BG24" s="54">
        <f t="array" ref="BG24">-(IF(BG$2=1,Assumptions!$AF25/12,-(SUMIF($D$2:$EE$2,BG$2-1,$D24:$EE24)/12)*(1+XLOOKUP(BG$2,Assumptions!$C$94:$M$94,Assumptions!$C$98:$M$98))))</f>
        <v>-1617.404698</v>
      </c>
      <c r="BH24" s="54">
        <f t="array" ref="BH24">-(IF(BH$2=1,Assumptions!$AF25/12,-(SUMIF($D$2:$EE$2,BH$2-1,$D24:$EE24)/12)*(1+XLOOKUP(BH$2,Assumptions!$C$94:$M$94,Assumptions!$C$98:$M$98))))</f>
        <v>-1617.404698</v>
      </c>
      <c r="BI24" s="54">
        <f t="array" ref="BI24">-(IF(BI$2=1,Assumptions!$AF25/12,-(SUMIF($D$2:$EE$2,BI$2-1,$D24:$EE24)/12)*(1+XLOOKUP(BI$2,Assumptions!$C$94:$M$94,Assumptions!$C$98:$M$98))))</f>
        <v>-1617.404698</v>
      </c>
      <c r="BJ24" s="54">
        <f t="array" ref="BJ24">-(IF(BJ$2=1,Assumptions!$AF25/12,-(SUMIF($D$2:$EE$2,BJ$2-1,$D24:$EE24)/12)*(1+XLOOKUP(BJ$2,Assumptions!$C$94:$M$94,Assumptions!$C$98:$M$98))))</f>
        <v>-1617.404698</v>
      </c>
      <c r="BK24" s="54">
        <f t="array" ref="BK24">-(IF(BK$2=1,Assumptions!$AF25/12,-(SUMIF($D$2:$EE$2,BK$2-1,$D24:$EE24)/12)*(1+XLOOKUP(BK$2,Assumptions!$C$94:$M$94,Assumptions!$C$98:$M$98))))</f>
        <v>-1617.404698</v>
      </c>
      <c r="BL24" s="54">
        <f t="array" ref="BL24">-(IF(BL$2=1,Assumptions!$AF25/12,-(SUMIF($D$2:$EE$2,BL$2-1,$D24:$EE24)/12)*(1+XLOOKUP(BL$2,Assumptions!$C$94:$M$94,Assumptions!$C$98:$M$98))))</f>
        <v>-1665.926838</v>
      </c>
      <c r="BM24" s="54">
        <f t="array" ref="BM24">-(IF(BM$2=1,Assumptions!$AF25/12,-(SUMIF($D$2:$EE$2,BM$2-1,$D24:$EE24)/12)*(1+XLOOKUP(BM$2,Assumptions!$C$94:$M$94,Assumptions!$C$98:$M$98))))</f>
        <v>-1665.926838</v>
      </c>
      <c r="BN24" s="54">
        <f t="array" ref="BN24">-(IF(BN$2=1,Assumptions!$AF25/12,-(SUMIF($D$2:$EE$2,BN$2-1,$D24:$EE24)/12)*(1+XLOOKUP(BN$2,Assumptions!$C$94:$M$94,Assumptions!$C$98:$M$98))))</f>
        <v>-1665.926838</v>
      </c>
      <c r="BO24" s="54">
        <f t="array" ref="BO24">-(IF(BO$2=1,Assumptions!$AF25/12,-(SUMIF($D$2:$EE$2,BO$2-1,$D24:$EE24)/12)*(1+XLOOKUP(BO$2,Assumptions!$C$94:$M$94,Assumptions!$C$98:$M$98))))</f>
        <v>-1665.926838</v>
      </c>
      <c r="BP24" s="54">
        <f t="array" ref="BP24">-(IF(BP$2=1,Assumptions!$AF25/12,-(SUMIF($D$2:$EE$2,BP$2-1,$D24:$EE24)/12)*(1+XLOOKUP(BP$2,Assumptions!$C$94:$M$94,Assumptions!$C$98:$M$98))))</f>
        <v>-1665.926838</v>
      </c>
      <c r="BQ24" s="54">
        <f t="array" ref="BQ24">-(IF(BQ$2=1,Assumptions!$AF25/12,-(SUMIF($D$2:$EE$2,BQ$2-1,$D24:$EE24)/12)*(1+XLOOKUP(BQ$2,Assumptions!$C$94:$M$94,Assumptions!$C$98:$M$98))))</f>
        <v>-1665.926838</v>
      </c>
      <c r="BR24" s="54">
        <f t="array" ref="BR24">-(IF(BR$2=1,Assumptions!$AF25/12,-(SUMIF($D$2:$EE$2,BR$2-1,$D24:$EE24)/12)*(1+XLOOKUP(BR$2,Assumptions!$C$94:$M$94,Assumptions!$C$98:$M$98))))</f>
        <v>-1665.926838</v>
      </c>
      <c r="BS24" s="54">
        <f t="array" ref="BS24">-(IF(BS$2=1,Assumptions!$AF25/12,-(SUMIF($D$2:$EE$2,BS$2-1,$D24:$EE24)/12)*(1+XLOOKUP(BS$2,Assumptions!$C$94:$M$94,Assumptions!$C$98:$M$98))))</f>
        <v>-1665.926838</v>
      </c>
      <c r="BT24" s="54">
        <f t="array" ref="BT24">-(IF(BT$2=1,Assumptions!$AF25/12,-(SUMIF($D$2:$EE$2,BT$2-1,$D24:$EE24)/12)*(1+XLOOKUP(BT$2,Assumptions!$C$94:$M$94,Assumptions!$C$98:$M$98))))</f>
        <v>-1665.926838</v>
      </c>
      <c r="BU24" s="54">
        <f t="array" ref="BU24">-(IF(BU$2=1,Assumptions!$AF25/12,-(SUMIF($D$2:$EE$2,BU$2-1,$D24:$EE24)/12)*(1+XLOOKUP(BU$2,Assumptions!$C$94:$M$94,Assumptions!$C$98:$M$98))))</f>
        <v>-1665.926838</v>
      </c>
      <c r="BV24" s="54">
        <f t="array" ref="BV24">-(IF(BV$2=1,Assumptions!$AF25/12,-(SUMIF($D$2:$EE$2,BV$2-1,$D24:$EE24)/12)*(1+XLOOKUP(BV$2,Assumptions!$C$94:$M$94,Assumptions!$C$98:$M$98))))</f>
        <v>-1665.926838</v>
      </c>
      <c r="BW24" s="54">
        <f t="array" ref="BW24">-(IF(BW$2=1,Assumptions!$AF25/12,-(SUMIF($D$2:$EE$2,BW$2-1,$D24:$EE24)/12)*(1+XLOOKUP(BW$2,Assumptions!$C$94:$M$94,Assumptions!$C$98:$M$98))))</f>
        <v>-1665.926838</v>
      </c>
      <c r="BX24" s="54">
        <f t="array" ref="BX24">-(IF(BX$2=1,Assumptions!$AF25/12,-(SUMIF($D$2:$EE$2,BX$2-1,$D24:$EE24)/12)*(1+XLOOKUP(BX$2,Assumptions!$C$94:$M$94,Assumptions!$C$98:$M$98))))</f>
        <v>-1715.904644</v>
      </c>
      <c r="BY24" s="54">
        <f t="array" ref="BY24">-(IF(BY$2=1,Assumptions!$AF25/12,-(SUMIF($D$2:$EE$2,BY$2-1,$D24:$EE24)/12)*(1+XLOOKUP(BY$2,Assumptions!$C$94:$M$94,Assumptions!$C$98:$M$98))))</f>
        <v>-1715.904644</v>
      </c>
      <c r="BZ24" s="54">
        <f t="array" ref="BZ24">-(IF(BZ$2=1,Assumptions!$AF25/12,-(SUMIF($D$2:$EE$2,BZ$2-1,$D24:$EE24)/12)*(1+XLOOKUP(BZ$2,Assumptions!$C$94:$M$94,Assumptions!$C$98:$M$98))))</f>
        <v>-1715.904644</v>
      </c>
      <c r="CA24" s="54">
        <f t="array" ref="CA24">-(IF(CA$2=1,Assumptions!$AF25/12,-(SUMIF($D$2:$EE$2,CA$2-1,$D24:$EE24)/12)*(1+XLOOKUP(CA$2,Assumptions!$C$94:$M$94,Assumptions!$C$98:$M$98))))</f>
        <v>-1715.904644</v>
      </c>
      <c r="CB24" s="54">
        <f t="array" ref="CB24">-(IF(CB$2=1,Assumptions!$AF25/12,-(SUMIF($D$2:$EE$2,CB$2-1,$D24:$EE24)/12)*(1+XLOOKUP(CB$2,Assumptions!$C$94:$M$94,Assumptions!$C$98:$M$98))))</f>
        <v>-1715.904644</v>
      </c>
      <c r="CC24" s="54">
        <f t="array" ref="CC24">-(IF(CC$2=1,Assumptions!$AF25/12,-(SUMIF($D$2:$EE$2,CC$2-1,$D24:$EE24)/12)*(1+XLOOKUP(CC$2,Assumptions!$C$94:$M$94,Assumptions!$C$98:$M$98))))</f>
        <v>-1715.904644</v>
      </c>
      <c r="CD24" s="54">
        <f t="array" ref="CD24">-(IF(CD$2=1,Assumptions!$AF25/12,-(SUMIF($D$2:$EE$2,CD$2-1,$D24:$EE24)/12)*(1+XLOOKUP(CD$2,Assumptions!$C$94:$M$94,Assumptions!$C$98:$M$98))))</f>
        <v>-1715.904644</v>
      </c>
      <c r="CE24" s="54">
        <f t="array" ref="CE24">-(IF(CE$2=1,Assumptions!$AF25/12,-(SUMIF($D$2:$EE$2,CE$2-1,$D24:$EE24)/12)*(1+XLOOKUP(CE$2,Assumptions!$C$94:$M$94,Assumptions!$C$98:$M$98))))</f>
        <v>-1715.904644</v>
      </c>
      <c r="CF24" s="54">
        <f t="array" ref="CF24">-(IF(CF$2=1,Assumptions!$AF25/12,-(SUMIF($D$2:$EE$2,CF$2-1,$D24:$EE24)/12)*(1+XLOOKUP(CF$2,Assumptions!$C$94:$M$94,Assumptions!$C$98:$M$98))))</f>
        <v>-1715.904644</v>
      </c>
      <c r="CG24" s="54">
        <f t="array" ref="CG24">-(IF(CG$2=1,Assumptions!$AF25/12,-(SUMIF($D$2:$EE$2,CG$2-1,$D24:$EE24)/12)*(1+XLOOKUP(CG$2,Assumptions!$C$94:$M$94,Assumptions!$C$98:$M$98))))</f>
        <v>-1715.904644</v>
      </c>
      <c r="CH24" s="54">
        <f t="array" ref="CH24">-(IF(CH$2=1,Assumptions!$AF25/12,-(SUMIF($D$2:$EE$2,CH$2-1,$D24:$EE24)/12)*(1+XLOOKUP(CH$2,Assumptions!$C$94:$M$94,Assumptions!$C$98:$M$98))))</f>
        <v>-1715.904644</v>
      </c>
      <c r="CI24" s="54">
        <f t="array" ref="CI24">-(IF(CI$2=1,Assumptions!$AF25/12,-(SUMIF($D$2:$EE$2,CI$2-1,$D24:$EE24)/12)*(1+XLOOKUP(CI$2,Assumptions!$C$94:$M$94,Assumptions!$C$98:$M$98))))</f>
        <v>-1715.904644</v>
      </c>
      <c r="CJ24" s="54">
        <f t="array" ref="CJ24">-(IF(CJ$2=1,Assumptions!$AF25/12,-(SUMIF($D$2:$EE$2,CJ$2-1,$D24:$EE24)/12)*(1+XLOOKUP(CJ$2,Assumptions!$C$94:$M$94,Assumptions!$C$98:$M$98))))</f>
        <v>-1767.381783</v>
      </c>
      <c r="CK24" s="54">
        <f t="array" ref="CK24">-(IF(CK$2=1,Assumptions!$AF25/12,-(SUMIF($D$2:$EE$2,CK$2-1,$D24:$EE24)/12)*(1+XLOOKUP(CK$2,Assumptions!$C$94:$M$94,Assumptions!$C$98:$M$98))))</f>
        <v>-1767.381783</v>
      </c>
      <c r="CL24" s="54">
        <f t="array" ref="CL24">-(IF(CL$2=1,Assumptions!$AF25/12,-(SUMIF($D$2:$EE$2,CL$2-1,$D24:$EE24)/12)*(1+XLOOKUP(CL$2,Assumptions!$C$94:$M$94,Assumptions!$C$98:$M$98))))</f>
        <v>-1767.381783</v>
      </c>
      <c r="CM24" s="54">
        <f t="array" ref="CM24">-(IF(CM$2=1,Assumptions!$AF25/12,-(SUMIF($D$2:$EE$2,CM$2-1,$D24:$EE24)/12)*(1+XLOOKUP(CM$2,Assumptions!$C$94:$M$94,Assumptions!$C$98:$M$98))))</f>
        <v>-1767.381783</v>
      </c>
      <c r="CN24" s="54">
        <f t="array" ref="CN24">-(IF(CN$2=1,Assumptions!$AF25/12,-(SUMIF($D$2:$EE$2,CN$2-1,$D24:$EE24)/12)*(1+XLOOKUP(CN$2,Assumptions!$C$94:$M$94,Assumptions!$C$98:$M$98))))</f>
        <v>-1767.381783</v>
      </c>
      <c r="CO24" s="54">
        <f t="array" ref="CO24">-(IF(CO$2=1,Assumptions!$AF25/12,-(SUMIF($D$2:$EE$2,CO$2-1,$D24:$EE24)/12)*(1+XLOOKUP(CO$2,Assumptions!$C$94:$M$94,Assumptions!$C$98:$M$98))))</f>
        <v>-1767.381783</v>
      </c>
      <c r="CP24" s="54">
        <f t="array" ref="CP24">-(IF(CP$2=1,Assumptions!$AF25/12,-(SUMIF($D$2:$EE$2,CP$2-1,$D24:$EE24)/12)*(1+XLOOKUP(CP$2,Assumptions!$C$94:$M$94,Assumptions!$C$98:$M$98))))</f>
        <v>-1767.381783</v>
      </c>
      <c r="CQ24" s="54">
        <f t="array" ref="CQ24">-(IF(CQ$2=1,Assumptions!$AF25/12,-(SUMIF($D$2:$EE$2,CQ$2-1,$D24:$EE24)/12)*(1+XLOOKUP(CQ$2,Assumptions!$C$94:$M$94,Assumptions!$C$98:$M$98))))</f>
        <v>-1767.381783</v>
      </c>
      <c r="CR24" s="54">
        <f t="array" ref="CR24">-(IF(CR$2=1,Assumptions!$AF25/12,-(SUMIF($D$2:$EE$2,CR$2-1,$D24:$EE24)/12)*(1+XLOOKUP(CR$2,Assumptions!$C$94:$M$94,Assumptions!$C$98:$M$98))))</f>
        <v>-1767.381783</v>
      </c>
      <c r="CS24" s="54">
        <f t="array" ref="CS24">-(IF(CS$2=1,Assumptions!$AF25/12,-(SUMIF($D$2:$EE$2,CS$2-1,$D24:$EE24)/12)*(1+XLOOKUP(CS$2,Assumptions!$C$94:$M$94,Assumptions!$C$98:$M$98))))</f>
        <v>-1767.381783</v>
      </c>
      <c r="CT24" s="54">
        <f t="array" ref="CT24">-(IF(CT$2=1,Assumptions!$AF25/12,-(SUMIF($D$2:$EE$2,CT$2-1,$D24:$EE24)/12)*(1+XLOOKUP(CT$2,Assumptions!$C$94:$M$94,Assumptions!$C$98:$M$98))))</f>
        <v>-1767.381783</v>
      </c>
      <c r="CU24" s="54">
        <f t="array" ref="CU24">-(IF(CU$2=1,Assumptions!$AF25/12,-(SUMIF($D$2:$EE$2,CU$2-1,$D24:$EE24)/12)*(1+XLOOKUP(CU$2,Assumptions!$C$94:$M$94,Assumptions!$C$98:$M$98))))</f>
        <v>-1767.381783</v>
      </c>
      <c r="CV24" s="54">
        <f t="array" ref="CV24">-(IF(CV$2=1,Assumptions!$AF25/12,-(SUMIF($D$2:$EE$2,CV$2-1,$D24:$EE24)/12)*(1+XLOOKUP(CV$2,Assumptions!$C$94:$M$94,Assumptions!$C$98:$M$98))))</f>
        <v>-1820.403236</v>
      </c>
      <c r="CW24" s="54">
        <f t="array" ref="CW24">-(IF(CW$2=1,Assumptions!$AF25/12,-(SUMIF($D$2:$EE$2,CW$2-1,$D24:$EE24)/12)*(1+XLOOKUP(CW$2,Assumptions!$C$94:$M$94,Assumptions!$C$98:$M$98))))</f>
        <v>-1820.403236</v>
      </c>
      <c r="CX24" s="54">
        <f t="array" ref="CX24">-(IF(CX$2=1,Assumptions!$AF25/12,-(SUMIF($D$2:$EE$2,CX$2-1,$D24:$EE24)/12)*(1+XLOOKUP(CX$2,Assumptions!$C$94:$M$94,Assumptions!$C$98:$M$98))))</f>
        <v>-1820.403236</v>
      </c>
      <c r="CY24" s="54">
        <f t="array" ref="CY24">-(IF(CY$2=1,Assumptions!$AF25/12,-(SUMIF($D$2:$EE$2,CY$2-1,$D24:$EE24)/12)*(1+XLOOKUP(CY$2,Assumptions!$C$94:$M$94,Assumptions!$C$98:$M$98))))</f>
        <v>-1820.403236</v>
      </c>
      <c r="CZ24" s="54">
        <f t="array" ref="CZ24">-(IF(CZ$2=1,Assumptions!$AF25/12,-(SUMIF($D$2:$EE$2,CZ$2-1,$D24:$EE24)/12)*(1+XLOOKUP(CZ$2,Assumptions!$C$94:$M$94,Assumptions!$C$98:$M$98))))</f>
        <v>-1820.403236</v>
      </c>
      <c r="DA24" s="54">
        <f t="array" ref="DA24">-(IF(DA$2=1,Assumptions!$AF25/12,-(SUMIF($D$2:$EE$2,DA$2-1,$D24:$EE24)/12)*(1+XLOOKUP(DA$2,Assumptions!$C$94:$M$94,Assumptions!$C$98:$M$98))))</f>
        <v>-1820.403236</v>
      </c>
      <c r="DB24" s="54">
        <f t="array" ref="DB24">-(IF(DB$2=1,Assumptions!$AF25/12,-(SUMIF($D$2:$EE$2,DB$2-1,$D24:$EE24)/12)*(1+XLOOKUP(DB$2,Assumptions!$C$94:$M$94,Assumptions!$C$98:$M$98))))</f>
        <v>-1820.403236</v>
      </c>
      <c r="DC24" s="54">
        <f t="array" ref="DC24">-(IF(DC$2=1,Assumptions!$AF25/12,-(SUMIF($D$2:$EE$2,DC$2-1,$D24:$EE24)/12)*(1+XLOOKUP(DC$2,Assumptions!$C$94:$M$94,Assumptions!$C$98:$M$98))))</f>
        <v>-1820.403236</v>
      </c>
      <c r="DD24" s="54">
        <f t="array" ref="DD24">-(IF(DD$2=1,Assumptions!$AF25/12,-(SUMIF($D$2:$EE$2,DD$2-1,$D24:$EE24)/12)*(1+XLOOKUP(DD$2,Assumptions!$C$94:$M$94,Assumptions!$C$98:$M$98))))</f>
        <v>-1820.403236</v>
      </c>
      <c r="DE24" s="54">
        <f t="array" ref="DE24">-(IF(DE$2=1,Assumptions!$AF25/12,-(SUMIF($D$2:$EE$2,DE$2-1,$D24:$EE24)/12)*(1+XLOOKUP(DE$2,Assumptions!$C$94:$M$94,Assumptions!$C$98:$M$98))))</f>
        <v>-1820.403236</v>
      </c>
      <c r="DF24" s="54">
        <f t="array" ref="DF24">-(IF(DF$2=1,Assumptions!$AF25/12,-(SUMIF($D$2:$EE$2,DF$2-1,$D24:$EE24)/12)*(1+XLOOKUP(DF$2,Assumptions!$C$94:$M$94,Assumptions!$C$98:$M$98))))</f>
        <v>-1820.403236</v>
      </c>
      <c r="DG24" s="54">
        <f t="array" ref="DG24">-(IF(DG$2=1,Assumptions!$AF25/12,-(SUMIF($D$2:$EE$2,DG$2-1,$D24:$EE24)/12)*(1+XLOOKUP(DG$2,Assumptions!$C$94:$M$94,Assumptions!$C$98:$M$98))))</f>
        <v>-1820.403236</v>
      </c>
      <c r="DH24" s="54">
        <f t="array" ref="DH24">-(IF(DH$2=1,Assumptions!$AF25/12,-(SUMIF($D$2:$EE$2,DH$2-1,$D24:$EE24)/12)*(1+XLOOKUP(DH$2,Assumptions!$C$94:$M$94,Assumptions!$C$98:$M$98))))</f>
        <v>-1875.015334</v>
      </c>
      <c r="DI24" s="54">
        <f t="array" ref="DI24">-(IF(DI$2=1,Assumptions!$AF25/12,-(SUMIF($D$2:$EE$2,DI$2-1,$D24:$EE24)/12)*(1+XLOOKUP(DI$2,Assumptions!$C$94:$M$94,Assumptions!$C$98:$M$98))))</f>
        <v>-1875.015334</v>
      </c>
      <c r="DJ24" s="54">
        <f t="array" ref="DJ24">-(IF(DJ$2=1,Assumptions!$AF25/12,-(SUMIF($D$2:$EE$2,DJ$2-1,$D24:$EE24)/12)*(1+XLOOKUP(DJ$2,Assumptions!$C$94:$M$94,Assumptions!$C$98:$M$98))))</f>
        <v>-1875.015334</v>
      </c>
      <c r="DK24" s="54">
        <f t="array" ref="DK24">-(IF(DK$2=1,Assumptions!$AF25/12,-(SUMIF($D$2:$EE$2,DK$2-1,$D24:$EE24)/12)*(1+XLOOKUP(DK$2,Assumptions!$C$94:$M$94,Assumptions!$C$98:$M$98))))</f>
        <v>-1875.015334</v>
      </c>
      <c r="DL24" s="54">
        <f t="array" ref="DL24">-(IF(DL$2=1,Assumptions!$AF25/12,-(SUMIF($D$2:$EE$2,DL$2-1,$D24:$EE24)/12)*(1+XLOOKUP(DL$2,Assumptions!$C$94:$M$94,Assumptions!$C$98:$M$98))))</f>
        <v>-1875.015334</v>
      </c>
      <c r="DM24" s="54">
        <f t="array" ref="DM24">-(IF(DM$2=1,Assumptions!$AF25/12,-(SUMIF($D$2:$EE$2,DM$2-1,$D24:$EE24)/12)*(1+XLOOKUP(DM$2,Assumptions!$C$94:$M$94,Assumptions!$C$98:$M$98))))</f>
        <v>-1875.015334</v>
      </c>
      <c r="DN24" s="54">
        <f t="array" ref="DN24">-(IF(DN$2=1,Assumptions!$AF25/12,-(SUMIF($D$2:$EE$2,DN$2-1,$D24:$EE24)/12)*(1+XLOOKUP(DN$2,Assumptions!$C$94:$M$94,Assumptions!$C$98:$M$98))))</f>
        <v>-1875.015334</v>
      </c>
      <c r="DO24" s="54">
        <f t="array" ref="DO24">-(IF(DO$2=1,Assumptions!$AF25/12,-(SUMIF($D$2:$EE$2,DO$2-1,$D24:$EE24)/12)*(1+XLOOKUP(DO$2,Assumptions!$C$94:$M$94,Assumptions!$C$98:$M$98))))</f>
        <v>-1875.015334</v>
      </c>
      <c r="DP24" s="54">
        <f t="array" ref="DP24">-(IF(DP$2=1,Assumptions!$AF25/12,-(SUMIF($D$2:$EE$2,DP$2-1,$D24:$EE24)/12)*(1+XLOOKUP(DP$2,Assumptions!$C$94:$M$94,Assumptions!$C$98:$M$98))))</f>
        <v>-1875.015334</v>
      </c>
      <c r="DQ24" s="54">
        <f t="array" ref="DQ24">-(IF(DQ$2=1,Assumptions!$AF25/12,-(SUMIF($D$2:$EE$2,DQ$2-1,$D24:$EE24)/12)*(1+XLOOKUP(DQ$2,Assumptions!$C$94:$M$94,Assumptions!$C$98:$M$98))))</f>
        <v>-1875.015334</v>
      </c>
      <c r="DR24" s="54">
        <f t="array" ref="DR24">-(IF(DR$2=1,Assumptions!$AF25/12,-(SUMIF($D$2:$EE$2,DR$2-1,$D24:$EE24)/12)*(1+XLOOKUP(DR$2,Assumptions!$C$94:$M$94,Assumptions!$C$98:$M$98))))</f>
        <v>-1875.015334</v>
      </c>
      <c r="DS24" s="54">
        <f t="array" ref="DS24">-(IF(DS$2=1,Assumptions!$AF25/12,-(SUMIF($D$2:$EE$2,DS$2-1,$D24:$EE24)/12)*(1+XLOOKUP(DS$2,Assumptions!$C$94:$M$94,Assumptions!$C$98:$M$98))))</f>
        <v>-1875.015334</v>
      </c>
      <c r="DT24" s="54">
        <f t="array" ref="DT24">-(IF(DT$2=1,Assumptions!$AF25/12,-(SUMIF($D$2:$EE$2,DT$2-1,$D24:$EE24)/12)*(1+XLOOKUP(DT$2,Assumptions!$C$94:$M$94,Assumptions!$C$98:$M$98))))</f>
        <v>-1931.265794</v>
      </c>
      <c r="DU24" s="54">
        <f t="array" ref="DU24">-(IF(DU$2=1,Assumptions!$AF25/12,-(SUMIF($D$2:$EE$2,DU$2-1,$D24:$EE24)/12)*(1+XLOOKUP(DU$2,Assumptions!$C$94:$M$94,Assumptions!$C$98:$M$98))))</f>
        <v>-1931.265794</v>
      </c>
      <c r="DV24" s="54">
        <f t="array" ref="DV24">-(IF(DV$2=1,Assumptions!$AF25/12,-(SUMIF($D$2:$EE$2,DV$2-1,$D24:$EE24)/12)*(1+XLOOKUP(DV$2,Assumptions!$C$94:$M$94,Assumptions!$C$98:$M$98))))</f>
        <v>-1931.265794</v>
      </c>
      <c r="DW24" s="54">
        <f t="array" ref="DW24">-(IF(DW$2=1,Assumptions!$AF25/12,-(SUMIF($D$2:$EE$2,DW$2-1,$D24:$EE24)/12)*(1+XLOOKUP(DW$2,Assumptions!$C$94:$M$94,Assumptions!$C$98:$M$98))))</f>
        <v>-1931.265794</v>
      </c>
      <c r="DX24" s="54">
        <f t="array" ref="DX24">-(IF(DX$2=1,Assumptions!$AF25/12,-(SUMIF($D$2:$EE$2,DX$2-1,$D24:$EE24)/12)*(1+XLOOKUP(DX$2,Assumptions!$C$94:$M$94,Assumptions!$C$98:$M$98))))</f>
        <v>-1931.265794</v>
      </c>
      <c r="DY24" s="54">
        <f t="array" ref="DY24">-(IF(DY$2=1,Assumptions!$AF25/12,-(SUMIF($D$2:$EE$2,DY$2-1,$D24:$EE24)/12)*(1+XLOOKUP(DY$2,Assumptions!$C$94:$M$94,Assumptions!$C$98:$M$98))))</f>
        <v>-1931.265794</v>
      </c>
      <c r="DZ24" s="54">
        <f t="array" ref="DZ24">-(IF(DZ$2=1,Assumptions!$AF25/12,-(SUMIF($D$2:$EE$2,DZ$2-1,$D24:$EE24)/12)*(1+XLOOKUP(DZ$2,Assumptions!$C$94:$M$94,Assumptions!$C$98:$M$98))))</f>
        <v>-1931.265794</v>
      </c>
      <c r="EA24" s="54">
        <f t="array" ref="EA24">-(IF(EA$2=1,Assumptions!$AF25/12,-(SUMIF($D$2:$EE$2,EA$2-1,$D24:$EE24)/12)*(1+XLOOKUP(EA$2,Assumptions!$C$94:$M$94,Assumptions!$C$98:$M$98))))</f>
        <v>-1931.265794</v>
      </c>
      <c r="EB24" s="54">
        <f t="array" ref="EB24">-(IF(EB$2=1,Assumptions!$AF25/12,-(SUMIF($D$2:$EE$2,EB$2-1,$D24:$EE24)/12)*(1+XLOOKUP(EB$2,Assumptions!$C$94:$M$94,Assumptions!$C$98:$M$98))))</f>
        <v>-1931.265794</v>
      </c>
      <c r="EC24" s="54">
        <f t="array" ref="EC24">-(IF(EC$2=1,Assumptions!$AF25/12,-(SUMIF($D$2:$EE$2,EC$2-1,$D24:$EE24)/12)*(1+XLOOKUP(EC$2,Assumptions!$C$94:$M$94,Assumptions!$C$98:$M$98))))</f>
        <v>-1931.265794</v>
      </c>
      <c r="ED24" s="54">
        <f t="array" ref="ED24">-(IF(ED$2=1,Assumptions!$AF25/12,-(SUMIF($D$2:$EE$2,ED$2-1,$D24:$EE24)/12)*(1+XLOOKUP(ED$2,Assumptions!$C$94:$M$94,Assumptions!$C$98:$M$98))))</f>
        <v>-1931.265794</v>
      </c>
      <c r="EE24" s="54">
        <f t="array" ref="EE24">-(IF(EE$2=1,Assumptions!$AF25/12,-(SUMIF($D$2:$EE$2,EE$2-1,$D24:$EE24)/12)*(1+XLOOKUP(EE$2,Assumptions!$C$94:$M$94,Assumptions!$C$98:$M$98))))</f>
        <v>-1931.265794</v>
      </c>
    </row>
    <row r="25" ht="15.75" customHeight="1">
      <c r="A25" s="1"/>
      <c r="B25" s="1"/>
      <c r="C25" s="1" t="str">
        <f>Assumptions!J26</f>
        <v>Payroll</v>
      </c>
      <c r="D25" s="54">
        <f t="array" ref="D25">-(IF(D$2=1,Assumptions!$AF26/12,-(SUMIF($D$2:$EE$2,D$2-1,$D25:$EE25)/12)*(1+XLOOKUP(D$2,Assumptions!$C$94:$M$94,Assumptions!$C$98:$M$98))))</f>
        <v>-8231.106808</v>
      </c>
      <c r="E25" s="54">
        <f t="array" ref="E25">-(IF(E$2=1,Assumptions!$AF26/12,-(SUMIF($D$2:$EE$2,E$2-1,$D25:$EE25)/12)*(1+XLOOKUP(E$2,Assumptions!$C$94:$M$94,Assumptions!$C$98:$M$98))))</f>
        <v>-8231.106808</v>
      </c>
      <c r="F25" s="54">
        <f t="array" ref="F25">-(IF(F$2=1,Assumptions!$AF26/12,-(SUMIF($D$2:$EE$2,F$2-1,$D25:$EE25)/12)*(1+XLOOKUP(F$2,Assumptions!$C$94:$M$94,Assumptions!$C$98:$M$98))))</f>
        <v>-8231.106808</v>
      </c>
      <c r="G25" s="54">
        <f t="array" ref="G25">-(IF(G$2=1,Assumptions!$AF26/12,-(SUMIF($D$2:$EE$2,G$2-1,$D25:$EE25)/12)*(1+XLOOKUP(G$2,Assumptions!$C$94:$M$94,Assumptions!$C$98:$M$98))))</f>
        <v>-8231.106808</v>
      </c>
      <c r="H25" s="54">
        <f t="array" ref="H25">-(IF(H$2=1,Assumptions!$AF26/12,-(SUMIF($D$2:$EE$2,H$2-1,$D25:$EE25)/12)*(1+XLOOKUP(H$2,Assumptions!$C$94:$M$94,Assumptions!$C$98:$M$98))))</f>
        <v>-8231.106808</v>
      </c>
      <c r="I25" s="54">
        <f t="array" ref="I25">-(IF(I$2=1,Assumptions!$AF26/12,-(SUMIF($D$2:$EE$2,I$2-1,$D25:$EE25)/12)*(1+XLOOKUP(I$2,Assumptions!$C$94:$M$94,Assumptions!$C$98:$M$98))))</f>
        <v>-8231.106808</v>
      </c>
      <c r="J25" s="54">
        <f t="array" ref="J25">-(IF(J$2=1,Assumptions!$AF26/12,-(SUMIF($D$2:$EE$2,J$2-1,$D25:$EE25)/12)*(1+XLOOKUP(J$2,Assumptions!$C$94:$M$94,Assumptions!$C$98:$M$98))))</f>
        <v>-8231.106808</v>
      </c>
      <c r="K25" s="54">
        <f t="array" ref="K25">-(IF(K$2=1,Assumptions!$AF26/12,-(SUMIF($D$2:$EE$2,K$2-1,$D25:$EE25)/12)*(1+XLOOKUP(K$2,Assumptions!$C$94:$M$94,Assumptions!$C$98:$M$98))))</f>
        <v>-8231.106808</v>
      </c>
      <c r="L25" s="54">
        <f t="array" ref="L25">-(IF(L$2=1,Assumptions!$AF26/12,-(SUMIF($D$2:$EE$2,L$2-1,$D25:$EE25)/12)*(1+XLOOKUP(L$2,Assumptions!$C$94:$M$94,Assumptions!$C$98:$M$98))))</f>
        <v>-8231.106808</v>
      </c>
      <c r="M25" s="54">
        <f t="array" ref="M25">-(IF(M$2=1,Assumptions!$AF26/12,-(SUMIF($D$2:$EE$2,M$2-1,$D25:$EE25)/12)*(1+XLOOKUP(M$2,Assumptions!$C$94:$M$94,Assumptions!$C$98:$M$98))))</f>
        <v>-8231.106808</v>
      </c>
      <c r="N25" s="54">
        <f t="array" ref="N25">-(IF(N$2=1,Assumptions!$AF26/12,-(SUMIF($D$2:$EE$2,N$2-1,$D25:$EE25)/12)*(1+XLOOKUP(N$2,Assumptions!$C$94:$M$94,Assumptions!$C$98:$M$98))))</f>
        <v>-8231.106808</v>
      </c>
      <c r="O25" s="54">
        <f t="array" ref="O25">-(IF(O$2=1,Assumptions!$AF26/12,-(SUMIF($D$2:$EE$2,O$2-1,$D25:$EE25)/12)*(1+XLOOKUP(O$2,Assumptions!$C$94:$M$94,Assumptions!$C$98:$M$98))))</f>
        <v>-8231.106808</v>
      </c>
      <c r="P25" s="54">
        <f t="array" ref="P25">-(IF(P$2=1,Assumptions!$AF26/12,-(SUMIF($D$2:$EE$2,P$2-1,$D25:$EE25)/12)*(1+XLOOKUP(P$2,Assumptions!$C$94:$M$94,Assumptions!$C$98:$M$98))))</f>
        <v>-8478.040013</v>
      </c>
      <c r="Q25" s="54">
        <f t="array" ref="Q25">-(IF(Q$2=1,Assumptions!$AF26/12,-(SUMIF($D$2:$EE$2,Q$2-1,$D25:$EE25)/12)*(1+XLOOKUP(Q$2,Assumptions!$C$94:$M$94,Assumptions!$C$98:$M$98))))</f>
        <v>-8478.040013</v>
      </c>
      <c r="R25" s="54">
        <f t="array" ref="R25">-(IF(R$2=1,Assumptions!$AF26/12,-(SUMIF($D$2:$EE$2,R$2-1,$D25:$EE25)/12)*(1+XLOOKUP(R$2,Assumptions!$C$94:$M$94,Assumptions!$C$98:$M$98))))</f>
        <v>-8478.040013</v>
      </c>
      <c r="S25" s="54">
        <f t="array" ref="S25">-(IF(S$2=1,Assumptions!$AF26/12,-(SUMIF($D$2:$EE$2,S$2-1,$D25:$EE25)/12)*(1+XLOOKUP(S$2,Assumptions!$C$94:$M$94,Assumptions!$C$98:$M$98))))</f>
        <v>-8478.040013</v>
      </c>
      <c r="T25" s="54">
        <f t="array" ref="T25">-(IF(T$2=1,Assumptions!$AF26/12,-(SUMIF($D$2:$EE$2,T$2-1,$D25:$EE25)/12)*(1+XLOOKUP(T$2,Assumptions!$C$94:$M$94,Assumptions!$C$98:$M$98))))</f>
        <v>-8478.040013</v>
      </c>
      <c r="U25" s="54">
        <f t="array" ref="U25">-(IF(U$2=1,Assumptions!$AF26/12,-(SUMIF($D$2:$EE$2,U$2-1,$D25:$EE25)/12)*(1+XLOOKUP(U$2,Assumptions!$C$94:$M$94,Assumptions!$C$98:$M$98))))</f>
        <v>-8478.040013</v>
      </c>
      <c r="V25" s="54">
        <f t="array" ref="V25">-(IF(V$2=1,Assumptions!$AF26/12,-(SUMIF($D$2:$EE$2,V$2-1,$D25:$EE25)/12)*(1+XLOOKUP(V$2,Assumptions!$C$94:$M$94,Assumptions!$C$98:$M$98))))</f>
        <v>-8478.040013</v>
      </c>
      <c r="W25" s="54">
        <f t="array" ref="W25">-(IF(W$2=1,Assumptions!$AF26/12,-(SUMIF($D$2:$EE$2,W$2-1,$D25:$EE25)/12)*(1+XLOOKUP(W$2,Assumptions!$C$94:$M$94,Assumptions!$C$98:$M$98))))</f>
        <v>-8478.040013</v>
      </c>
      <c r="X25" s="54">
        <f t="array" ref="X25">-(IF(X$2=1,Assumptions!$AF26/12,-(SUMIF($D$2:$EE$2,X$2-1,$D25:$EE25)/12)*(1+XLOOKUP(X$2,Assumptions!$C$94:$M$94,Assumptions!$C$98:$M$98))))</f>
        <v>-8478.040013</v>
      </c>
      <c r="Y25" s="54">
        <f t="array" ref="Y25">-(IF(Y$2=1,Assumptions!$AF26/12,-(SUMIF($D$2:$EE$2,Y$2-1,$D25:$EE25)/12)*(1+XLOOKUP(Y$2,Assumptions!$C$94:$M$94,Assumptions!$C$98:$M$98))))</f>
        <v>-8478.040013</v>
      </c>
      <c r="Z25" s="54">
        <f t="array" ref="Z25">-(IF(Z$2=1,Assumptions!$AF26/12,-(SUMIF($D$2:$EE$2,Z$2-1,$D25:$EE25)/12)*(1+XLOOKUP(Z$2,Assumptions!$C$94:$M$94,Assumptions!$C$98:$M$98))))</f>
        <v>-8478.040013</v>
      </c>
      <c r="AA25" s="54">
        <f t="array" ref="AA25">-(IF(AA$2=1,Assumptions!$AF26/12,-(SUMIF($D$2:$EE$2,AA$2-1,$D25:$EE25)/12)*(1+XLOOKUP(AA$2,Assumptions!$C$94:$M$94,Assumptions!$C$98:$M$98))))</f>
        <v>-8478.040013</v>
      </c>
      <c r="AB25" s="54">
        <f t="array" ref="AB25">-(IF(AB$2=1,Assumptions!$AF26/12,-(SUMIF($D$2:$EE$2,AB$2-1,$D25:$EE25)/12)*(1+XLOOKUP(AB$2,Assumptions!$C$94:$M$94,Assumptions!$C$98:$M$98))))</f>
        <v>-8732.381213</v>
      </c>
      <c r="AC25" s="54">
        <f t="array" ref="AC25">-(IF(AC$2=1,Assumptions!$AF26/12,-(SUMIF($D$2:$EE$2,AC$2-1,$D25:$EE25)/12)*(1+XLOOKUP(AC$2,Assumptions!$C$94:$M$94,Assumptions!$C$98:$M$98))))</f>
        <v>-8732.381213</v>
      </c>
      <c r="AD25" s="54">
        <f t="array" ref="AD25">-(IF(AD$2=1,Assumptions!$AF26/12,-(SUMIF($D$2:$EE$2,AD$2-1,$D25:$EE25)/12)*(1+XLOOKUP(AD$2,Assumptions!$C$94:$M$94,Assumptions!$C$98:$M$98))))</f>
        <v>-8732.381213</v>
      </c>
      <c r="AE25" s="54">
        <f t="array" ref="AE25">-(IF(AE$2=1,Assumptions!$AF26/12,-(SUMIF($D$2:$EE$2,AE$2-1,$D25:$EE25)/12)*(1+XLOOKUP(AE$2,Assumptions!$C$94:$M$94,Assumptions!$C$98:$M$98))))</f>
        <v>-8732.381213</v>
      </c>
      <c r="AF25" s="54">
        <f t="array" ref="AF25">-(IF(AF$2=1,Assumptions!$AF26/12,-(SUMIF($D$2:$EE$2,AF$2-1,$D25:$EE25)/12)*(1+XLOOKUP(AF$2,Assumptions!$C$94:$M$94,Assumptions!$C$98:$M$98))))</f>
        <v>-8732.381213</v>
      </c>
      <c r="AG25" s="54">
        <f t="array" ref="AG25">-(IF(AG$2=1,Assumptions!$AF26/12,-(SUMIF($D$2:$EE$2,AG$2-1,$D25:$EE25)/12)*(1+XLOOKUP(AG$2,Assumptions!$C$94:$M$94,Assumptions!$C$98:$M$98))))</f>
        <v>-8732.381213</v>
      </c>
      <c r="AH25" s="54">
        <f t="array" ref="AH25">-(IF(AH$2=1,Assumptions!$AF26/12,-(SUMIF($D$2:$EE$2,AH$2-1,$D25:$EE25)/12)*(1+XLOOKUP(AH$2,Assumptions!$C$94:$M$94,Assumptions!$C$98:$M$98))))</f>
        <v>-8732.381213</v>
      </c>
      <c r="AI25" s="54">
        <f t="array" ref="AI25">-(IF(AI$2=1,Assumptions!$AF26/12,-(SUMIF($D$2:$EE$2,AI$2-1,$D25:$EE25)/12)*(1+XLOOKUP(AI$2,Assumptions!$C$94:$M$94,Assumptions!$C$98:$M$98))))</f>
        <v>-8732.381213</v>
      </c>
      <c r="AJ25" s="54">
        <f t="array" ref="AJ25">-(IF(AJ$2=1,Assumptions!$AF26/12,-(SUMIF($D$2:$EE$2,AJ$2-1,$D25:$EE25)/12)*(1+XLOOKUP(AJ$2,Assumptions!$C$94:$M$94,Assumptions!$C$98:$M$98))))</f>
        <v>-8732.381213</v>
      </c>
      <c r="AK25" s="54">
        <f t="array" ref="AK25">-(IF(AK$2=1,Assumptions!$AF26/12,-(SUMIF($D$2:$EE$2,AK$2-1,$D25:$EE25)/12)*(1+XLOOKUP(AK$2,Assumptions!$C$94:$M$94,Assumptions!$C$98:$M$98))))</f>
        <v>-8732.381213</v>
      </c>
      <c r="AL25" s="54">
        <f t="array" ref="AL25">-(IF(AL$2=1,Assumptions!$AF26/12,-(SUMIF($D$2:$EE$2,AL$2-1,$D25:$EE25)/12)*(1+XLOOKUP(AL$2,Assumptions!$C$94:$M$94,Assumptions!$C$98:$M$98))))</f>
        <v>-8732.381213</v>
      </c>
      <c r="AM25" s="54">
        <f t="array" ref="AM25">-(IF(AM$2=1,Assumptions!$AF26/12,-(SUMIF($D$2:$EE$2,AM$2-1,$D25:$EE25)/12)*(1+XLOOKUP(AM$2,Assumptions!$C$94:$M$94,Assumptions!$C$98:$M$98))))</f>
        <v>-8732.381213</v>
      </c>
      <c r="AN25" s="54">
        <f t="array" ref="AN25">-(IF(AN$2=1,Assumptions!$AF26/12,-(SUMIF($D$2:$EE$2,AN$2-1,$D25:$EE25)/12)*(1+XLOOKUP(AN$2,Assumptions!$C$94:$M$94,Assumptions!$C$98:$M$98))))</f>
        <v>-8994.352649</v>
      </c>
      <c r="AO25" s="54">
        <f t="array" ref="AO25">-(IF(AO$2=1,Assumptions!$AF26/12,-(SUMIF($D$2:$EE$2,AO$2-1,$D25:$EE25)/12)*(1+XLOOKUP(AO$2,Assumptions!$C$94:$M$94,Assumptions!$C$98:$M$98))))</f>
        <v>-8994.352649</v>
      </c>
      <c r="AP25" s="54">
        <f t="array" ref="AP25">-(IF(AP$2=1,Assumptions!$AF26/12,-(SUMIF($D$2:$EE$2,AP$2-1,$D25:$EE25)/12)*(1+XLOOKUP(AP$2,Assumptions!$C$94:$M$94,Assumptions!$C$98:$M$98))))</f>
        <v>-8994.352649</v>
      </c>
      <c r="AQ25" s="54">
        <f t="array" ref="AQ25">-(IF(AQ$2=1,Assumptions!$AF26/12,-(SUMIF($D$2:$EE$2,AQ$2-1,$D25:$EE25)/12)*(1+XLOOKUP(AQ$2,Assumptions!$C$94:$M$94,Assumptions!$C$98:$M$98))))</f>
        <v>-8994.352649</v>
      </c>
      <c r="AR25" s="54">
        <f t="array" ref="AR25">-(IF(AR$2=1,Assumptions!$AF26/12,-(SUMIF($D$2:$EE$2,AR$2-1,$D25:$EE25)/12)*(1+XLOOKUP(AR$2,Assumptions!$C$94:$M$94,Assumptions!$C$98:$M$98))))</f>
        <v>-8994.352649</v>
      </c>
      <c r="AS25" s="54">
        <f t="array" ref="AS25">-(IF(AS$2=1,Assumptions!$AF26/12,-(SUMIF($D$2:$EE$2,AS$2-1,$D25:$EE25)/12)*(1+XLOOKUP(AS$2,Assumptions!$C$94:$M$94,Assumptions!$C$98:$M$98))))</f>
        <v>-8994.352649</v>
      </c>
      <c r="AT25" s="54">
        <f t="array" ref="AT25">-(IF(AT$2=1,Assumptions!$AF26/12,-(SUMIF($D$2:$EE$2,AT$2-1,$D25:$EE25)/12)*(1+XLOOKUP(AT$2,Assumptions!$C$94:$M$94,Assumptions!$C$98:$M$98))))</f>
        <v>-8994.352649</v>
      </c>
      <c r="AU25" s="54">
        <f t="array" ref="AU25">-(IF(AU$2=1,Assumptions!$AF26/12,-(SUMIF($D$2:$EE$2,AU$2-1,$D25:$EE25)/12)*(1+XLOOKUP(AU$2,Assumptions!$C$94:$M$94,Assumptions!$C$98:$M$98))))</f>
        <v>-8994.352649</v>
      </c>
      <c r="AV25" s="54">
        <f t="array" ref="AV25">-(IF(AV$2=1,Assumptions!$AF26/12,-(SUMIF($D$2:$EE$2,AV$2-1,$D25:$EE25)/12)*(1+XLOOKUP(AV$2,Assumptions!$C$94:$M$94,Assumptions!$C$98:$M$98))))</f>
        <v>-8994.352649</v>
      </c>
      <c r="AW25" s="54">
        <f t="array" ref="AW25">-(IF(AW$2=1,Assumptions!$AF26/12,-(SUMIF($D$2:$EE$2,AW$2-1,$D25:$EE25)/12)*(1+XLOOKUP(AW$2,Assumptions!$C$94:$M$94,Assumptions!$C$98:$M$98))))</f>
        <v>-8994.352649</v>
      </c>
      <c r="AX25" s="54">
        <f t="array" ref="AX25">-(IF(AX$2=1,Assumptions!$AF26/12,-(SUMIF($D$2:$EE$2,AX$2-1,$D25:$EE25)/12)*(1+XLOOKUP(AX$2,Assumptions!$C$94:$M$94,Assumptions!$C$98:$M$98))))</f>
        <v>-8994.352649</v>
      </c>
      <c r="AY25" s="54">
        <f t="array" ref="AY25">-(IF(AY$2=1,Assumptions!$AF26/12,-(SUMIF($D$2:$EE$2,AY$2-1,$D25:$EE25)/12)*(1+XLOOKUP(AY$2,Assumptions!$C$94:$M$94,Assumptions!$C$98:$M$98))))</f>
        <v>-8994.352649</v>
      </c>
      <c r="AZ25" s="54">
        <f t="array" ref="AZ25">-(IF(AZ$2=1,Assumptions!$AF26/12,-(SUMIF($D$2:$EE$2,AZ$2-1,$D25:$EE25)/12)*(1+XLOOKUP(AZ$2,Assumptions!$C$94:$M$94,Assumptions!$C$98:$M$98))))</f>
        <v>-9264.183229</v>
      </c>
      <c r="BA25" s="54">
        <f t="array" ref="BA25">-(IF(BA$2=1,Assumptions!$AF26/12,-(SUMIF($D$2:$EE$2,BA$2-1,$D25:$EE25)/12)*(1+XLOOKUP(BA$2,Assumptions!$C$94:$M$94,Assumptions!$C$98:$M$98))))</f>
        <v>-9264.183229</v>
      </c>
      <c r="BB25" s="54">
        <f t="array" ref="BB25">-(IF(BB$2=1,Assumptions!$AF26/12,-(SUMIF($D$2:$EE$2,BB$2-1,$D25:$EE25)/12)*(1+XLOOKUP(BB$2,Assumptions!$C$94:$M$94,Assumptions!$C$98:$M$98))))</f>
        <v>-9264.183229</v>
      </c>
      <c r="BC25" s="54">
        <f t="array" ref="BC25">-(IF(BC$2=1,Assumptions!$AF26/12,-(SUMIF($D$2:$EE$2,BC$2-1,$D25:$EE25)/12)*(1+XLOOKUP(BC$2,Assumptions!$C$94:$M$94,Assumptions!$C$98:$M$98))))</f>
        <v>-9264.183229</v>
      </c>
      <c r="BD25" s="54">
        <f t="array" ref="BD25">-(IF(BD$2=1,Assumptions!$AF26/12,-(SUMIF($D$2:$EE$2,BD$2-1,$D25:$EE25)/12)*(1+XLOOKUP(BD$2,Assumptions!$C$94:$M$94,Assumptions!$C$98:$M$98))))</f>
        <v>-9264.183229</v>
      </c>
      <c r="BE25" s="54">
        <f t="array" ref="BE25">-(IF(BE$2=1,Assumptions!$AF26/12,-(SUMIF($D$2:$EE$2,BE$2-1,$D25:$EE25)/12)*(1+XLOOKUP(BE$2,Assumptions!$C$94:$M$94,Assumptions!$C$98:$M$98))))</f>
        <v>-9264.183229</v>
      </c>
      <c r="BF25" s="54">
        <f t="array" ref="BF25">-(IF(BF$2=1,Assumptions!$AF26/12,-(SUMIF($D$2:$EE$2,BF$2-1,$D25:$EE25)/12)*(1+XLOOKUP(BF$2,Assumptions!$C$94:$M$94,Assumptions!$C$98:$M$98))))</f>
        <v>-9264.183229</v>
      </c>
      <c r="BG25" s="54">
        <f t="array" ref="BG25">-(IF(BG$2=1,Assumptions!$AF26/12,-(SUMIF($D$2:$EE$2,BG$2-1,$D25:$EE25)/12)*(1+XLOOKUP(BG$2,Assumptions!$C$94:$M$94,Assumptions!$C$98:$M$98))))</f>
        <v>-9264.183229</v>
      </c>
      <c r="BH25" s="54">
        <f t="array" ref="BH25">-(IF(BH$2=1,Assumptions!$AF26/12,-(SUMIF($D$2:$EE$2,BH$2-1,$D25:$EE25)/12)*(1+XLOOKUP(BH$2,Assumptions!$C$94:$M$94,Assumptions!$C$98:$M$98))))</f>
        <v>-9264.183229</v>
      </c>
      <c r="BI25" s="54">
        <f t="array" ref="BI25">-(IF(BI$2=1,Assumptions!$AF26/12,-(SUMIF($D$2:$EE$2,BI$2-1,$D25:$EE25)/12)*(1+XLOOKUP(BI$2,Assumptions!$C$94:$M$94,Assumptions!$C$98:$M$98))))</f>
        <v>-9264.183229</v>
      </c>
      <c r="BJ25" s="54">
        <f t="array" ref="BJ25">-(IF(BJ$2=1,Assumptions!$AF26/12,-(SUMIF($D$2:$EE$2,BJ$2-1,$D25:$EE25)/12)*(1+XLOOKUP(BJ$2,Assumptions!$C$94:$M$94,Assumptions!$C$98:$M$98))))</f>
        <v>-9264.183229</v>
      </c>
      <c r="BK25" s="54">
        <f t="array" ref="BK25">-(IF(BK$2=1,Assumptions!$AF26/12,-(SUMIF($D$2:$EE$2,BK$2-1,$D25:$EE25)/12)*(1+XLOOKUP(BK$2,Assumptions!$C$94:$M$94,Assumptions!$C$98:$M$98))))</f>
        <v>-9264.183229</v>
      </c>
      <c r="BL25" s="54">
        <f t="array" ref="BL25">-(IF(BL$2=1,Assumptions!$AF26/12,-(SUMIF($D$2:$EE$2,BL$2-1,$D25:$EE25)/12)*(1+XLOOKUP(BL$2,Assumptions!$C$94:$M$94,Assumptions!$C$98:$M$98))))</f>
        <v>-9542.108726</v>
      </c>
      <c r="BM25" s="54">
        <f t="array" ref="BM25">-(IF(BM$2=1,Assumptions!$AF26/12,-(SUMIF($D$2:$EE$2,BM$2-1,$D25:$EE25)/12)*(1+XLOOKUP(BM$2,Assumptions!$C$94:$M$94,Assumptions!$C$98:$M$98))))</f>
        <v>-9542.108726</v>
      </c>
      <c r="BN25" s="54">
        <f t="array" ref="BN25">-(IF(BN$2=1,Assumptions!$AF26/12,-(SUMIF($D$2:$EE$2,BN$2-1,$D25:$EE25)/12)*(1+XLOOKUP(BN$2,Assumptions!$C$94:$M$94,Assumptions!$C$98:$M$98))))</f>
        <v>-9542.108726</v>
      </c>
      <c r="BO25" s="54">
        <f t="array" ref="BO25">-(IF(BO$2=1,Assumptions!$AF26/12,-(SUMIF($D$2:$EE$2,BO$2-1,$D25:$EE25)/12)*(1+XLOOKUP(BO$2,Assumptions!$C$94:$M$94,Assumptions!$C$98:$M$98))))</f>
        <v>-9542.108726</v>
      </c>
      <c r="BP25" s="54">
        <f t="array" ref="BP25">-(IF(BP$2=1,Assumptions!$AF26/12,-(SUMIF($D$2:$EE$2,BP$2-1,$D25:$EE25)/12)*(1+XLOOKUP(BP$2,Assumptions!$C$94:$M$94,Assumptions!$C$98:$M$98))))</f>
        <v>-9542.108726</v>
      </c>
      <c r="BQ25" s="54">
        <f t="array" ref="BQ25">-(IF(BQ$2=1,Assumptions!$AF26/12,-(SUMIF($D$2:$EE$2,BQ$2-1,$D25:$EE25)/12)*(1+XLOOKUP(BQ$2,Assumptions!$C$94:$M$94,Assumptions!$C$98:$M$98))))</f>
        <v>-9542.108726</v>
      </c>
      <c r="BR25" s="54">
        <f t="array" ref="BR25">-(IF(BR$2=1,Assumptions!$AF26/12,-(SUMIF($D$2:$EE$2,BR$2-1,$D25:$EE25)/12)*(1+XLOOKUP(BR$2,Assumptions!$C$94:$M$94,Assumptions!$C$98:$M$98))))</f>
        <v>-9542.108726</v>
      </c>
      <c r="BS25" s="54">
        <f t="array" ref="BS25">-(IF(BS$2=1,Assumptions!$AF26/12,-(SUMIF($D$2:$EE$2,BS$2-1,$D25:$EE25)/12)*(1+XLOOKUP(BS$2,Assumptions!$C$94:$M$94,Assumptions!$C$98:$M$98))))</f>
        <v>-9542.108726</v>
      </c>
      <c r="BT25" s="54">
        <f t="array" ref="BT25">-(IF(BT$2=1,Assumptions!$AF26/12,-(SUMIF($D$2:$EE$2,BT$2-1,$D25:$EE25)/12)*(1+XLOOKUP(BT$2,Assumptions!$C$94:$M$94,Assumptions!$C$98:$M$98))))</f>
        <v>-9542.108726</v>
      </c>
      <c r="BU25" s="54">
        <f t="array" ref="BU25">-(IF(BU$2=1,Assumptions!$AF26/12,-(SUMIF($D$2:$EE$2,BU$2-1,$D25:$EE25)/12)*(1+XLOOKUP(BU$2,Assumptions!$C$94:$M$94,Assumptions!$C$98:$M$98))))</f>
        <v>-9542.108726</v>
      </c>
      <c r="BV25" s="54">
        <f t="array" ref="BV25">-(IF(BV$2=1,Assumptions!$AF26/12,-(SUMIF($D$2:$EE$2,BV$2-1,$D25:$EE25)/12)*(1+XLOOKUP(BV$2,Assumptions!$C$94:$M$94,Assumptions!$C$98:$M$98))))</f>
        <v>-9542.108726</v>
      </c>
      <c r="BW25" s="54">
        <f t="array" ref="BW25">-(IF(BW$2=1,Assumptions!$AF26/12,-(SUMIF($D$2:$EE$2,BW$2-1,$D25:$EE25)/12)*(1+XLOOKUP(BW$2,Assumptions!$C$94:$M$94,Assumptions!$C$98:$M$98))))</f>
        <v>-9542.108726</v>
      </c>
      <c r="BX25" s="54">
        <f t="array" ref="BX25">-(IF(BX$2=1,Assumptions!$AF26/12,-(SUMIF($D$2:$EE$2,BX$2-1,$D25:$EE25)/12)*(1+XLOOKUP(BX$2,Assumptions!$C$94:$M$94,Assumptions!$C$98:$M$98))))</f>
        <v>-9828.371987</v>
      </c>
      <c r="BY25" s="54">
        <f t="array" ref="BY25">-(IF(BY$2=1,Assumptions!$AF26/12,-(SUMIF($D$2:$EE$2,BY$2-1,$D25:$EE25)/12)*(1+XLOOKUP(BY$2,Assumptions!$C$94:$M$94,Assumptions!$C$98:$M$98))))</f>
        <v>-9828.371987</v>
      </c>
      <c r="BZ25" s="54">
        <f t="array" ref="BZ25">-(IF(BZ$2=1,Assumptions!$AF26/12,-(SUMIF($D$2:$EE$2,BZ$2-1,$D25:$EE25)/12)*(1+XLOOKUP(BZ$2,Assumptions!$C$94:$M$94,Assumptions!$C$98:$M$98))))</f>
        <v>-9828.371987</v>
      </c>
      <c r="CA25" s="54">
        <f t="array" ref="CA25">-(IF(CA$2=1,Assumptions!$AF26/12,-(SUMIF($D$2:$EE$2,CA$2-1,$D25:$EE25)/12)*(1+XLOOKUP(CA$2,Assumptions!$C$94:$M$94,Assumptions!$C$98:$M$98))))</f>
        <v>-9828.371987</v>
      </c>
      <c r="CB25" s="54">
        <f t="array" ref="CB25">-(IF(CB$2=1,Assumptions!$AF26/12,-(SUMIF($D$2:$EE$2,CB$2-1,$D25:$EE25)/12)*(1+XLOOKUP(CB$2,Assumptions!$C$94:$M$94,Assumptions!$C$98:$M$98))))</f>
        <v>-9828.371987</v>
      </c>
      <c r="CC25" s="54">
        <f t="array" ref="CC25">-(IF(CC$2=1,Assumptions!$AF26/12,-(SUMIF($D$2:$EE$2,CC$2-1,$D25:$EE25)/12)*(1+XLOOKUP(CC$2,Assumptions!$C$94:$M$94,Assumptions!$C$98:$M$98))))</f>
        <v>-9828.371987</v>
      </c>
      <c r="CD25" s="54">
        <f t="array" ref="CD25">-(IF(CD$2=1,Assumptions!$AF26/12,-(SUMIF($D$2:$EE$2,CD$2-1,$D25:$EE25)/12)*(1+XLOOKUP(CD$2,Assumptions!$C$94:$M$94,Assumptions!$C$98:$M$98))))</f>
        <v>-9828.371987</v>
      </c>
      <c r="CE25" s="54">
        <f t="array" ref="CE25">-(IF(CE$2=1,Assumptions!$AF26/12,-(SUMIF($D$2:$EE$2,CE$2-1,$D25:$EE25)/12)*(1+XLOOKUP(CE$2,Assumptions!$C$94:$M$94,Assumptions!$C$98:$M$98))))</f>
        <v>-9828.371987</v>
      </c>
      <c r="CF25" s="54">
        <f t="array" ref="CF25">-(IF(CF$2=1,Assumptions!$AF26/12,-(SUMIF($D$2:$EE$2,CF$2-1,$D25:$EE25)/12)*(1+XLOOKUP(CF$2,Assumptions!$C$94:$M$94,Assumptions!$C$98:$M$98))))</f>
        <v>-9828.371987</v>
      </c>
      <c r="CG25" s="54">
        <f t="array" ref="CG25">-(IF(CG$2=1,Assumptions!$AF26/12,-(SUMIF($D$2:$EE$2,CG$2-1,$D25:$EE25)/12)*(1+XLOOKUP(CG$2,Assumptions!$C$94:$M$94,Assumptions!$C$98:$M$98))))</f>
        <v>-9828.371987</v>
      </c>
      <c r="CH25" s="54">
        <f t="array" ref="CH25">-(IF(CH$2=1,Assumptions!$AF26/12,-(SUMIF($D$2:$EE$2,CH$2-1,$D25:$EE25)/12)*(1+XLOOKUP(CH$2,Assumptions!$C$94:$M$94,Assumptions!$C$98:$M$98))))</f>
        <v>-9828.371987</v>
      </c>
      <c r="CI25" s="54">
        <f t="array" ref="CI25">-(IF(CI$2=1,Assumptions!$AF26/12,-(SUMIF($D$2:$EE$2,CI$2-1,$D25:$EE25)/12)*(1+XLOOKUP(CI$2,Assumptions!$C$94:$M$94,Assumptions!$C$98:$M$98))))</f>
        <v>-9828.371987</v>
      </c>
      <c r="CJ25" s="54">
        <f t="array" ref="CJ25">-(IF(CJ$2=1,Assumptions!$AF26/12,-(SUMIF($D$2:$EE$2,CJ$2-1,$D25:$EE25)/12)*(1+XLOOKUP(CJ$2,Assumptions!$C$94:$M$94,Assumptions!$C$98:$M$98))))</f>
        <v>-10123.22315</v>
      </c>
      <c r="CK25" s="54">
        <f t="array" ref="CK25">-(IF(CK$2=1,Assumptions!$AF26/12,-(SUMIF($D$2:$EE$2,CK$2-1,$D25:$EE25)/12)*(1+XLOOKUP(CK$2,Assumptions!$C$94:$M$94,Assumptions!$C$98:$M$98))))</f>
        <v>-10123.22315</v>
      </c>
      <c r="CL25" s="54">
        <f t="array" ref="CL25">-(IF(CL$2=1,Assumptions!$AF26/12,-(SUMIF($D$2:$EE$2,CL$2-1,$D25:$EE25)/12)*(1+XLOOKUP(CL$2,Assumptions!$C$94:$M$94,Assumptions!$C$98:$M$98))))</f>
        <v>-10123.22315</v>
      </c>
      <c r="CM25" s="54">
        <f t="array" ref="CM25">-(IF(CM$2=1,Assumptions!$AF26/12,-(SUMIF($D$2:$EE$2,CM$2-1,$D25:$EE25)/12)*(1+XLOOKUP(CM$2,Assumptions!$C$94:$M$94,Assumptions!$C$98:$M$98))))</f>
        <v>-10123.22315</v>
      </c>
      <c r="CN25" s="54">
        <f t="array" ref="CN25">-(IF(CN$2=1,Assumptions!$AF26/12,-(SUMIF($D$2:$EE$2,CN$2-1,$D25:$EE25)/12)*(1+XLOOKUP(CN$2,Assumptions!$C$94:$M$94,Assumptions!$C$98:$M$98))))</f>
        <v>-10123.22315</v>
      </c>
      <c r="CO25" s="54">
        <f t="array" ref="CO25">-(IF(CO$2=1,Assumptions!$AF26/12,-(SUMIF($D$2:$EE$2,CO$2-1,$D25:$EE25)/12)*(1+XLOOKUP(CO$2,Assumptions!$C$94:$M$94,Assumptions!$C$98:$M$98))))</f>
        <v>-10123.22315</v>
      </c>
      <c r="CP25" s="54">
        <f t="array" ref="CP25">-(IF(CP$2=1,Assumptions!$AF26/12,-(SUMIF($D$2:$EE$2,CP$2-1,$D25:$EE25)/12)*(1+XLOOKUP(CP$2,Assumptions!$C$94:$M$94,Assumptions!$C$98:$M$98))))</f>
        <v>-10123.22315</v>
      </c>
      <c r="CQ25" s="54">
        <f t="array" ref="CQ25">-(IF(CQ$2=1,Assumptions!$AF26/12,-(SUMIF($D$2:$EE$2,CQ$2-1,$D25:$EE25)/12)*(1+XLOOKUP(CQ$2,Assumptions!$C$94:$M$94,Assumptions!$C$98:$M$98))))</f>
        <v>-10123.22315</v>
      </c>
      <c r="CR25" s="54">
        <f t="array" ref="CR25">-(IF(CR$2=1,Assumptions!$AF26/12,-(SUMIF($D$2:$EE$2,CR$2-1,$D25:$EE25)/12)*(1+XLOOKUP(CR$2,Assumptions!$C$94:$M$94,Assumptions!$C$98:$M$98))))</f>
        <v>-10123.22315</v>
      </c>
      <c r="CS25" s="54">
        <f t="array" ref="CS25">-(IF(CS$2=1,Assumptions!$AF26/12,-(SUMIF($D$2:$EE$2,CS$2-1,$D25:$EE25)/12)*(1+XLOOKUP(CS$2,Assumptions!$C$94:$M$94,Assumptions!$C$98:$M$98))))</f>
        <v>-10123.22315</v>
      </c>
      <c r="CT25" s="54">
        <f t="array" ref="CT25">-(IF(CT$2=1,Assumptions!$AF26/12,-(SUMIF($D$2:$EE$2,CT$2-1,$D25:$EE25)/12)*(1+XLOOKUP(CT$2,Assumptions!$C$94:$M$94,Assumptions!$C$98:$M$98))))</f>
        <v>-10123.22315</v>
      </c>
      <c r="CU25" s="54">
        <f t="array" ref="CU25">-(IF(CU$2=1,Assumptions!$AF26/12,-(SUMIF($D$2:$EE$2,CU$2-1,$D25:$EE25)/12)*(1+XLOOKUP(CU$2,Assumptions!$C$94:$M$94,Assumptions!$C$98:$M$98))))</f>
        <v>-10123.22315</v>
      </c>
      <c r="CV25" s="54">
        <f t="array" ref="CV25">-(IF(CV$2=1,Assumptions!$AF26/12,-(SUMIF($D$2:$EE$2,CV$2-1,$D25:$EE25)/12)*(1+XLOOKUP(CV$2,Assumptions!$C$94:$M$94,Assumptions!$C$98:$M$98))))</f>
        <v>-10426.91984</v>
      </c>
      <c r="CW25" s="54">
        <f t="array" ref="CW25">-(IF(CW$2=1,Assumptions!$AF26/12,-(SUMIF($D$2:$EE$2,CW$2-1,$D25:$EE25)/12)*(1+XLOOKUP(CW$2,Assumptions!$C$94:$M$94,Assumptions!$C$98:$M$98))))</f>
        <v>-10426.91984</v>
      </c>
      <c r="CX25" s="54">
        <f t="array" ref="CX25">-(IF(CX$2=1,Assumptions!$AF26/12,-(SUMIF($D$2:$EE$2,CX$2-1,$D25:$EE25)/12)*(1+XLOOKUP(CX$2,Assumptions!$C$94:$M$94,Assumptions!$C$98:$M$98))))</f>
        <v>-10426.91984</v>
      </c>
      <c r="CY25" s="54">
        <f t="array" ref="CY25">-(IF(CY$2=1,Assumptions!$AF26/12,-(SUMIF($D$2:$EE$2,CY$2-1,$D25:$EE25)/12)*(1+XLOOKUP(CY$2,Assumptions!$C$94:$M$94,Assumptions!$C$98:$M$98))))</f>
        <v>-10426.91984</v>
      </c>
      <c r="CZ25" s="54">
        <f t="array" ref="CZ25">-(IF(CZ$2=1,Assumptions!$AF26/12,-(SUMIF($D$2:$EE$2,CZ$2-1,$D25:$EE25)/12)*(1+XLOOKUP(CZ$2,Assumptions!$C$94:$M$94,Assumptions!$C$98:$M$98))))</f>
        <v>-10426.91984</v>
      </c>
      <c r="DA25" s="54">
        <f t="array" ref="DA25">-(IF(DA$2=1,Assumptions!$AF26/12,-(SUMIF($D$2:$EE$2,DA$2-1,$D25:$EE25)/12)*(1+XLOOKUP(DA$2,Assumptions!$C$94:$M$94,Assumptions!$C$98:$M$98))))</f>
        <v>-10426.91984</v>
      </c>
      <c r="DB25" s="54">
        <f t="array" ref="DB25">-(IF(DB$2=1,Assumptions!$AF26/12,-(SUMIF($D$2:$EE$2,DB$2-1,$D25:$EE25)/12)*(1+XLOOKUP(DB$2,Assumptions!$C$94:$M$94,Assumptions!$C$98:$M$98))))</f>
        <v>-10426.91984</v>
      </c>
      <c r="DC25" s="54">
        <f t="array" ref="DC25">-(IF(DC$2=1,Assumptions!$AF26/12,-(SUMIF($D$2:$EE$2,DC$2-1,$D25:$EE25)/12)*(1+XLOOKUP(DC$2,Assumptions!$C$94:$M$94,Assumptions!$C$98:$M$98))))</f>
        <v>-10426.91984</v>
      </c>
      <c r="DD25" s="54">
        <f t="array" ref="DD25">-(IF(DD$2=1,Assumptions!$AF26/12,-(SUMIF($D$2:$EE$2,DD$2-1,$D25:$EE25)/12)*(1+XLOOKUP(DD$2,Assumptions!$C$94:$M$94,Assumptions!$C$98:$M$98))))</f>
        <v>-10426.91984</v>
      </c>
      <c r="DE25" s="54">
        <f t="array" ref="DE25">-(IF(DE$2=1,Assumptions!$AF26/12,-(SUMIF($D$2:$EE$2,DE$2-1,$D25:$EE25)/12)*(1+XLOOKUP(DE$2,Assumptions!$C$94:$M$94,Assumptions!$C$98:$M$98))))</f>
        <v>-10426.91984</v>
      </c>
      <c r="DF25" s="54">
        <f t="array" ref="DF25">-(IF(DF$2=1,Assumptions!$AF26/12,-(SUMIF($D$2:$EE$2,DF$2-1,$D25:$EE25)/12)*(1+XLOOKUP(DF$2,Assumptions!$C$94:$M$94,Assumptions!$C$98:$M$98))))</f>
        <v>-10426.91984</v>
      </c>
      <c r="DG25" s="54">
        <f t="array" ref="DG25">-(IF(DG$2=1,Assumptions!$AF26/12,-(SUMIF($D$2:$EE$2,DG$2-1,$D25:$EE25)/12)*(1+XLOOKUP(DG$2,Assumptions!$C$94:$M$94,Assumptions!$C$98:$M$98))))</f>
        <v>-10426.91984</v>
      </c>
      <c r="DH25" s="54">
        <f t="array" ref="DH25">-(IF(DH$2=1,Assumptions!$AF26/12,-(SUMIF($D$2:$EE$2,DH$2-1,$D25:$EE25)/12)*(1+XLOOKUP(DH$2,Assumptions!$C$94:$M$94,Assumptions!$C$98:$M$98))))</f>
        <v>-10739.72744</v>
      </c>
      <c r="DI25" s="54">
        <f t="array" ref="DI25">-(IF(DI$2=1,Assumptions!$AF26/12,-(SUMIF($D$2:$EE$2,DI$2-1,$D25:$EE25)/12)*(1+XLOOKUP(DI$2,Assumptions!$C$94:$M$94,Assumptions!$C$98:$M$98))))</f>
        <v>-10739.72744</v>
      </c>
      <c r="DJ25" s="54">
        <f t="array" ref="DJ25">-(IF(DJ$2=1,Assumptions!$AF26/12,-(SUMIF($D$2:$EE$2,DJ$2-1,$D25:$EE25)/12)*(1+XLOOKUP(DJ$2,Assumptions!$C$94:$M$94,Assumptions!$C$98:$M$98))))</f>
        <v>-10739.72744</v>
      </c>
      <c r="DK25" s="54">
        <f t="array" ref="DK25">-(IF(DK$2=1,Assumptions!$AF26/12,-(SUMIF($D$2:$EE$2,DK$2-1,$D25:$EE25)/12)*(1+XLOOKUP(DK$2,Assumptions!$C$94:$M$94,Assumptions!$C$98:$M$98))))</f>
        <v>-10739.72744</v>
      </c>
      <c r="DL25" s="54">
        <f t="array" ref="DL25">-(IF(DL$2=1,Assumptions!$AF26/12,-(SUMIF($D$2:$EE$2,DL$2-1,$D25:$EE25)/12)*(1+XLOOKUP(DL$2,Assumptions!$C$94:$M$94,Assumptions!$C$98:$M$98))))</f>
        <v>-10739.72744</v>
      </c>
      <c r="DM25" s="54">
        <f t="array" ref="DM25">-(IF(DM$2=1,Assumptions!$AF26/12,-(SUMIF($D$2:$EE$2,DM$2-1,$D25:$EE25)/12)*(1+XLOOKUP(DM$2,Assumptions!$C$94:$M$94,Assumptions!$C$98:$M$98))))</f>
        <v>-10739.72744</v>
      </c>
      <c r="DN25" s="54">
        <f t="array" ref="DN25">-(IF(DN$2=1,Assumptions!$AF26/12,-(SUMIF($D$2:$EE$2,DN$2-1,$D25:$EE25)/12)*(1+XLOOKUP(DN$2,Assumptions!$C$94:$M$94,Assumptions!$C$98:$M$98))))</f>
        <v>-10739.72744</v>
      </c>
      <c r="DO25" s="54">
        <f t="array" ref="DO25">-(IF(DO$2=1,Assumptions!$AF26/12,-(SUMIF($D$2:$EE$2,DO$2-1,$D25:$EE25)/12)*(1+XLOOKUP(DO$2,Assumptions!$C$94:$M$94,Assumptions!$C$98:$M$98))))</f>
        <v>-10739.72744</v>
      </c>
      <c r="DP25" s="54">
        <f t="array" ref="DP25">-(IF(DP$2=1,Assumptions!$AF26/12,-(SUMIF($D$2:$EE$2,DP$2-1,$D25:$EE25)/12)*(1+XLOOKUP(DP$2,Assumptions!$C$94:$M$94,Assumptions!$C$98:$M$98))))</f>
        <v>-10739.72744</v>
      </c>
      <c r="DQ25" s="54">
        <f t="array" ref="DQ25">-(IF(DQ$2=1,Assumptions!$AF26/12,-(SUMIF($D$2:$EE$2,DQ$2-1,$D25:$EE25)/12)*(1+XLOOKUP(DQ$2,Assumptions!$C$94:$M$94,Assumptions!$C$98:$M$98))))</f>
        <v>-10739.72744</v>
      </c>
      <c r="DR25" s="54">
        <f t="array" ref="DR25">-(IF(DR$2=1,Assumptions!$AF26/12,-(SUMIF($D$2:$EE$2,DR$2-1,$D25:$EE25)/12)*(1+XLOOKUP(DR$2,Assumptions!$C$94:$M$94,Assumptions!$C$98:$M$98))))</f>
        <v>-10739.72744</v>
      </c>
      <c r="DS25" s="54">
        <f t="array" ref="DS25">-(IF(DS$2=1,Assumptions!$AF26/12,-(SUMIF($D$2:$EE$2,DS$2-1,$D25:$EE25)/12)*(1+XLOOKUP(DS$2,Assumptions!$C$94:$M$94,Assumptions!$C$98:$M$98))))</f>
        <v>-10739.72744</v>
      </c>
      <c r="DT25" s="54">
        <f t="array" ref="DT25">-(IF(DT$2=1,Assumptions!$AF26/12,-(SUMIF($D$2:$EE$2,DT$2-1,$D25:$EE25)/12)*(1+XLOOKUP(DT$2,Assumptions!$C$94:$M$94,Assumptions!$C$98:$M$98))))</f>
        <v>-11061.91926</v>
      </c>
      <c r="DU25" s="54">
        <f t="array" ref="DU25">-(IF(DU$2=1,Assumptions!$AF26/12,-(SUMIF($D$2:$EE$2,DU$2-1,$D25:$EE25)/12)*(1+XLOOKUP(DU$2,Assumptions!$C$94:$M$94,Assumptions!$C$98:$M$98))))</f>
        <v>-11061.91926</v>
      </c>
      <c r="DV25" s="54">
        <f t="array" ref="DV25">-(IF(DV$2=1,Assumptions!$AF26/12,-(SUMIF($D$2:$EE$2,DV$2-1,$D25:$EE25)/12)*(1+XLOOKUP(DV$2,Assumptions!$C$94:$M$94,Assumptions!$C$98:$M$98))))</f>
        <v>-11061.91926</v>
      </c>
      <c r="DW25" s="54">
        <f t="array" ref="DW25">-(IF(DW$2=1,Assumptions!$AF26/12,-(SUMIF($D$2:$EE$2,DW$2-1,$D25:$EE25)/12)*(1+XLOOKUP(DW$2,Assumptions!$C$94:$M$94,Assumptions!$C$98:$M$98))))</f>
        <v>-11061.91926</v>
      </c>
      <c r="DX25" s="54">
        <f t="array" ref="DX25">-(IF(DX$2=1,Assumptions!$AF26/12,-(SUMIF($D$2:$EE$2,DX$2-1,$D25:$EE25)/12)*(1+XLOOKUP(DX$2,Assumptions!$C$94:$M$94,Assumptions!$C$98:$M$98))))</f>
        <v>-11061.91926</v>
      </c>
      <c r="DY25" s="54">
        <f t="array" ref="DY25">-(IF(DY$2=1,Assumptions!$AF26/12,-(SUMIF($D$2:$EE$2,DY$2-1,$D25:$EE25)/12)*(1+XLOOKUP(DY$2,Assumptions!$C$94:$M$94,Assumptions!$C$98:$M$98))))</f>
        <v>-11061.91926</v>
      </c>
      <c r="DZ25" s="54">
        <f t="array" ref="DZ25">-(IF(DZ$2=1,Assumptions!$AF26/12,-(SUMIF($D$2:$EE$2,DZ$2-1,$D25:$EE25)/12)*(1+XLOOKUP(DZ$2,Assumptions!$C$94:$M$94,Assumptions!$C$98:$M$98))))</f>
        <v>-11061.91926</v>
      </c>
      <c r="EA25" s="54">
        <f t="array" ref="EA25">-(IF(EA$2=1,Assumptions!$AF26/12,-(SUMIF($D$2:$EE$2,EA$2-1,$D25:$EE25)/12)*(1+XLOOKUP(EA$2,Assumptions!$C$94:$M$94,Assumptions!$C$98:$M$98))))</f>
        <v>-11061.91926</v>
      </c>
      <c r="EB25" s="54">
        <f t="array" ref="EB25">-(IF(EB$2=1,Assumptions!$AF26/12,-(SUMIF($D$2:$EE$2,EB$2-1,$D25:$EE25)/12)*(1+XLOOKUP(EB$2,Assumptions!$C$94:$M$94,Assumptions!$C$98:$M$98))))</f>
        <v>-11061.91926</v>
      </c>
      <c r="EC25" s="54">
        <f t="array" ref="EC25">-(IF(EC$2=1,Assumptions!$AF26/12,-(SUMIF($D$2:$EE$2,EC$2-1,$D25:$EE25)/12)*(1+XLOOKUP(EC$2,Assumptions!$C$94:$M$94,Assumptions!$C$98:$M$98))))</f>
        <v>-11061.91926</v>
      </c>
      <c r="ED25" s="54">
        <f t="array" ref="ED25">-(IF(ED$2=1,Assumptions!$AF26/12,-(SUMIF($D$2:$EE$2,ED$2-1,$D25:$EE25)/12)*(1+XLOOKUP(ED$2,Assumptions!$C$94:$M$94,Assumptions!$C$98:$M$98))))</f>
        <v>-11061.91926</v>
      </c>
      <c r="EE25" s="54">
        <f t="array" ref="EE25">-(IF(EE$2=1,Assumptions!$AF26/12,-(SUMIF($D$2:$EE$2,EE$2-1,$D25:$EE25)/12)*(1+XLOOKUP(EE$2,Assumptions!$C$94:$M$94,Assumptions!$C$98:$M$98))))</f>
        <v>-11061.91926</v>
      </c>
    </row>
    <row r="26" ht="15.75" customHeight="1">
      <c r="A26" s="1"/>
      <c r="B26" s="1"/>
      <c r="C26" s="1" t="str">
        <f>Assumptions!J27</f>
        <v>Electricity</v>
      </c>
      <c r="D26" s="54">
        <f t="array" ref="D26">-(IF(D$2=1,Assumptions!$AF27/12,-(SUMIF($D$2:$EE$2,D$2-1,$D26:$EE26)/12)*(1+XLOOKUP(D$2,Assumptions!$C$94:$M$94,Assumptions!$C$98:$M$98))))</f>
        <v>-12301.81358</v>
      </c>
      <c r="E26" s="54">
        <f t="array" ref="E26">-(IF(E$2=1,Assumptions!$AF27/12,-(SUMIF($D$2:$EE$2,E$2-1,$D26:$EE26)/12)*(1+XLOOKUP(E$2,Assumptions!$C$94:$M$94,Assumptions!$C$98:$M$98))))</f>
        <v>-12301.81358</v>
      </c>
      <c r="F26" s="54">
        <f t="array" ref="F26">-(IF(F$2=1,Assumptions!$AF27/12,-(SUMIF($D$2:$EE$2,F$2-1,$D26:$EE26)/12)*(1+XLOOKUP(F$2,Assumptions!$C$94:$M$94,Assumptions!$C$98:$M$98))))</f>
        <v>-12301.81358</v>
      </c>
      <c r="G26" s="54">
        <f t="array" ref="G26">-(IF(G$2=1,Assumptions!$AF27/12,-(SUMIF($D$2:$EE$2,G$2-1,$D26:$EE26)/12)*(1+XLOOKUP(G$2,Assumptions!$C$94:$M$94,Assumptions!$C$98:$M$98))))</f>
        <v>-12301.81358</v>
      </c>
      <c r="H26" s="54">
        <f t="array" ref="H26">-(IF(H$2=1,Assumptions!$AF27/12,-(SUMIF($D$2:$EE$2,H$2-1,$D26:$EE26)/12)*(1+XLOOKUP(H$2,Assumptions!$C$94:$M$94,Assumptions!$C$98:$M$98))))</f>
        <v>-12301.81358</v>
      </c>
      <c r="I26" s="54">
        <f t="array" ref="I26">-(IF(I$2=1,Assumptions!$AF27/12,-(SUMIF($D$2:$EE$2,I$2-1,$D26:$EE26)/12)*(1+XLOOKUP(I$2,Assumptions!$C$94:$M$94,Assumptions!$C$98:$M$98))))</f>
        <v>-12301.81358</v>
      </c>
      <c r="J26" s="54">
        <f t="array" ref="J26">-(IF(J$2=1,Assumptions!$AF27/12,-(SUMIF($D$2:$EE$2,J$2-1,$D26:$EE26)/12)*(1+XLOOKUP(J$2,Assumptions!$C$94:$M$94,Assumptions!$C$98:$M$98))))</f>
        <v>-12301.81358</v>
      </c>
      <c r="K26" s="54">
        <f t="array" ref="K26">-(IF(K$2=1,Assumptions!$AF27/12,-(SUMIF($D$2:$EE$2,K$2-1,$D26:$EE26)/12)*(1+XLOOKUP(K$2,Assumptions!$C$94:$M$94,Assumptions!$C$98:$M$98))))</f>
        <v>-12301.81358</v>
      </c>
      <c r="L26" s="54">
        <f t="array" ref="L26">-(IF(L$2=1,Assumptions!$AF27/12,-(SUMIF($D$2:$EE$2,L$2-1,$D26:$EE26)/12)*(1+XLOOKUP(L$2,Assumptions!$C$94:$M$94,Assumptions!$C$98:$M$98))))</f>
        <v>-12301.81358</v>
      </c>
      <c r="M26" s="54">
        <f t="array" ref="M26">-(IF(M$2=1,Assumptions!$AF27/12,-(SUMIF($D$2:$EE$2,M$2-1,$D26:$EE26)/12)*(1+XLOOKUP(M$2,Assumptions!$C$94:$M$94,Assumptions!$C$98:$M$98))))</f>
        <v>-12301.81358</v>
      </c>
      <c r="N26" s="54">
        <f t="array" ref="N26">-(IF(N$2=1,Assumptions!$AF27/12,-(SUMIF($D$2:$EE$2,N$2-1,$D26:$EE26)/12)*(1+XLOOKUP(N$2,Assumptions!$C$94:$M$94,Assumptions!$C$98:$M$98))))</f>
        <v>-12301.81358</v>
      </c>
      <c r="O26" s="54">
        <f t="array" ref="O26">-(IF(O$2=1,Assumptions!$AF27/12,-(SUMIF($D$2:$EE$2,O$2-1,$D26:$EE26)/12)*(1+XLOOKUP(O$2,Assumptions!$C$94:$M$94,Assumptions!$C$98:$M$98))))</f>
        <v>-12301.81358</v>
      </c>
      <c r="P26" s="54">
        <f t="array" ref="P26">-(IF(P$2=1,Assumptions!$AF27/12,-(SUMIF($D$2:$EE$2,P$2-1,$D26:$EE26)/12)*(1+XLOOKUP(P$2,Assumptions!$C$94:$M$94,Assumptions!$C$98:$M$98))))</f>
        <v>-12670.86799</v>
      </c>
      <c r="Q26" s="54">
        <f t="array" ref="Q26">-(IF(Q$2=1,Assumptions!$AF27/12,-(SUMIF($D$2:$EE$2,Q$2-1,$D26:$EE26)/12)*(1+XLOOKUP(Q$2,Assumptions!$C$94:$M$94,Assumptions!$C$98:$M$98))))</f>
        <v>-12670.86799</v>
      </c>
      <c r="R26" s="54">
        <f t="array" ref="R26">-(IF(R$2=1,Assumptions!$AF27/12,-(SUMIF($D$2:$EE$2,R$2-1,$D26:$EE26)/12)*(1+XLOOKUP(R$2,Assumptions!$C$94:$M$94,Assumptions!$C$98:$M$98))))</f>
        <v>-12670.86799</v>
      </c>
      <c r="S26" s="54">
        <f t="array" ref="S26">-(IF(S$2=1,Assumptions!$AF27/12,-(SUMIF($D$2:$EE$2,S$2-1,$D26:$EE26)/12)*(1+XLOOKUP(S$2,Assumptions!$C$94:$M$94,Assumptions!$C$98:$M$98))))</f>
        <v>-12670.86799</v>
      </c>
      <c r="T26" s="54">
        <f t="array" ref="T26">-(IF(T$2=1,Assumptions!$AF27/12,-(SUMIF($D$2:$EE$2,T$2-1,$D26:$EE26)/12)*(1+XLOOKUP(T$2,Assumptions!$C$94:$M$94,Assumptions!$C$98:$M$98))))</f>
        <v>-12670.86799</v>
      </c>
      <c r="U26" s="54">
        <f t="array" ref="U26">-(IF(U$2=1,Assumptions!$AF27/12,-(SUMIF($D$2:$EE$2,U$2-1,$D26:$EE26)/12)*(1+XLOOKUP(U$2,Assumptions!$C$94:$M$94,Assumptions!$C$98:$M$98))))</f>
        <v>-12670.86799</v>
      </c>
      <c r="V26" s="54">
        <f t="array" ref="V26">-(IF(V$2=1,Assumptions!$AF27/12,-(SUMIF($D$2:$EE$2,V$2-1,$D26:$EE26)/12)*(1+XLOOKUP(V$2,Assumptions!$C$94:$M$94,Assumptions!$C$98:$M$98))))</f>
        <v>-12670.86799</v>
      </c>
      <c r="W26" s="54">
        <f t="array" ref="W26">-(IF(W$2=1,Assumptions!$AF27/12,-(SUMIF($D$2:$EE$2,W$2-1,$D26:$EE26)/12)*(1+XLOOKUP(W$2,Assumptions!$C$94:$M$94,Assumptions!$C$98:$M$98))))</f>
        <v>-12670.86799</v>
      </c>
      <c r="X26" s="54">
        <f t="array" ref="X26">-(IF(X$2=1,Assumptions!$AF27/12,-(SUMIF($D$2:$EE$2,X$2-1,$D26:$EE26)/12)*(1+XLOOKUP(X$2,Assumptions!$C$94:$M$94,Assumptions!$C$98:$M$98))))</f>
        <v>-12670.86799</v>
      </c>
      <c r="Y26" s="54">
        <f t="array" ref="Y26">-(IF(Y$2=1,Assumptions!$AF27/12,-(SUMIF($D$2:$EE$2,Y$2-1,$D26:$EE26)/12)*(1+XLOOKUP(Y$2,Assumptions!$C$94:$M$94,Assumptions!$C$98:$M$98))))</f>
        <v>-12670.86799</v>
      </c>
      <c r="Z26" s="54">
        <f t="array" ref="Z26">-(IF(Z$2=1,Assumptions!$AF27/12,-(SUMIF($D$2:$EE$2,Z$2-1,$D26:$EE26)/12)*(1+XLOOKUP(Z$2,Assumptions!$C$94:$M$94,Assumptions!$C$98:$M$98))))</f>
        <v>-12670.86799</v>
      </c>
      <c r="AA26" s="54">
        <f t="array" ref="AA26">-(IF(AA$2=1,Assumptions!$AF27/12,-(SUMIF($D$2:$EE$2,AA$2-1,$D26:$EE26)/12)*(1+XLOOKUP(AA$2,Assumptions!$C$94:$M$94,Assumptions!$C$98:$M$98))))</f>
        <v>-12670.86799</v>
      </c>
      <c r="AB26" s="54">
        <f t="array" ref="AB26">-(IF(AB$2=1,Assumptions!$AF27/12,-(SUMIF($D$2:$EE$2,AB$2-1,$D26:$EE26)/12)*(1+XLOOKUP(AB$2,Assumptions!$C$94:$M$94,Assumptions!$C$98:$M$98))))</f>
        <v>-13050.99403</v>
      </c>
      <c r="AC26" s="54">
        <f t="array" ref="AC26">-(IF(AC$2=1,Assumptions!$AF27/12,-(SUMIF($D$2:$EE$2,AC$2-1,$D26:$EE26)/12)*(1+XLOOKUP(AC$2,Assumptions!$C$94:$M$94,Assumptions!$C$98:$M$98))))</f>
        <v>-13050.99403</v>
      </c>
      <c r="AD26" s="54">
        <f t="array" ref="AD26">-(IF(AD$2=1,Assumptions!$AF27/12,-(SUMIF($D$2:$EE$2,AD$2-1,$D26:$EE26)/12)*(1+XLOOKUP(AD$2,Assumptions!$C$94:$M$94,Assumptions!$C$98:$M$98))))</f>
        <v>-13050.99403</v>
      </c>
      <c r="AE26" s="54">
        <f t="array" ref="AE26">-(IF(AE$2=1,Assumptions!$AF27/12,-(SUMIF($D$2:$EE$2,AE$2-1,$D26:$EE26)/12)*(1+XLOOKUP(AE$2,Assumptions!$C$94:$M$94,Assumptions!$C$98:$M$98))))</f>
        <v>-13050.99403</v>
      </c>
      <c r="AF26" s="54">
        <f t="array" ref="AF26">-(IF(AF$2=1,Assumptions!$AF27/12,-(SUMIF($D$2:$EE$2,AF$2-1,$D26:$EE26)/12)*(1+XLOOKUP(AF$2,Assumptions!$C$94:$M$94,Assumptions!$C$98:$M$98))))</f>
        <v>-13050.99403</v>
      </c>
      <c r="AG26" s="54">
        <f t="array" ref="AG26">-(IF(AG$2=1,Assumptions!$AF27/12,-(SUMIF($D$2:$EE$2,AG$2-1,$D26:$EE26)/12)*(1+XLOOKUP(AG$2,Assumptions!$C$94:$M$94,Assumptions!$C$98:$M$98))))</f>
        <v>-13050.99403</v>
      </c>
      <c r="AH26" s="54">
        <f t="array" ref="AH26">-(IF(AH$2=1,Assumptions!$AF27/12,-(SUMIF($D$2:$EE$2,AH$2-1,$D26:$EE26)/12)*(1+XLOOKUP(AH$2,Assumptions!$C$94:$M$94,Assumptions!$C$98:$M$98))))</f>
        <v>-13050.99403</v>
      </c>
      <c r="AI26" s="54">
        <f t="array" ref="AI26">-(IF(AI$2=1,Assumptions!$AF27/12,-(SUMIF($D$2:$EE$2,AI$2-1,$D26:$EE26)/12)*(1+XLOOKUP(AI$2,Assumptions!$C$94:$M$94,Assumptions!$C$98:$M$98))))</f>
        <v>-13050.99403</v>
      </c>
      <c r="AJ26" s="54">
        <f t="array" ref="AJ26">-(IF(AJ$2=1,Assumptions!$AF27/12,-(SUMIF($D$2:$EE$2,AJ$2-1,$D26:$EE26)/12)*(1+XLOOKUP(AJ$2,Assumptions!$C$94:$M$94,Assumptions!$C$98:$M$98))))</f>
        <v>-13050.99403</v>
      </c>
      <c r="AK26" s="54">
        <f t="array" ref="AK26">-(IF(AK$2=1,Assumptions!$AF27/12,-(SUMIF($D$2:$EE$2,AK$2-1,$D26:$EE26)/12)*(1+XLOOKUP(AK$2,Assumptions!$C$94:$M$94,Assumptions!$C$98:$M$98))))</f>
        <v>-13050.99403</v>
      </c>
      <c r="AL26" s="54">
        <f t="array" ref="AL26">-(IF(AL$2=1,Assumptions!$AF27/12,-(SUMIF($D$2:$EE$2,AL$2-1,$D26:$EE26)/12)*(1+XLOOKUP(AL$2,Assumptions!$C$94:$M$94,Assumptions!$C$98:$M$98))))</f>
        <v>-13050.99403</v>
      </c>
      <c r="AM26" s="54">
        <f t="array" ref="AM26">-(IF(AM$2=1,Assumptions!$AF27/12,-(SUMIF($D$2:$EE$2,AM$2-1,$D26:$EE26)/12)*(1+XLOOKUP(AM$2,Assumptions!$C$94:$M$94,Assumptions!$C$98:$M$98))))</f>
        <v>-13050.99403</v>
      </c>
      <c r="AN26" s="54">
        <f t="array" ref="AN26">-(IF(AN$2=1,Assumptions!$AF27/12,-(SUMIF($D$2:$EE$2,AN$2-1,$D26:$EE26)/12)*(1+XLOOKUP(AN$2,Assumptions!$C$94:$M$94,Assumptions!$C$98:$M$98))))</f>
        <v>-13442.52385</v>
      </c>
      <c r="AO26" s="54">
        <f t="array" ref="AO26">-(IF(AO$2=1,Assumptions!$AF27/12,-(SUMIF($D$2:$EE$2,AO$2-1,$D26:$EE26)/12)*(1+XLOOKUP(AO$2,Assumptions!$C$94:$M$94,Assumptions!$C$98:$M$98))))</f>
        <v>-13442.52385</v>
      </c>
      <c r="AP26" s="54">
        <f t="array" ref="AP26">-(IF(AP$2=1,Assumptions!$AF27/12,-(SUMIF($D$2:$EE$2,AP$2-1,$D26:$EE26)/12)*(1+XLOOKUP(AP$2,Assumptions!$C$94:$M$94,Assumptions!$C$98:$M$98))))</f>
        <v>-13442.52385</v>
      </c>
      <c r="AQ26" s="54">
        <f t="array" ref="AQ26">-(IF(AQ$2=1,Assumptions!$AF27/12,-(SUMIF($D$2:$EE$2,AQ$2-1,$D26:$EE26)/12)*(1+XLOOKUP(AQ$2,Assumptions!$C$94:$M$94,Assumptions!$C$98:$M$98))))</f>
        <v>-13442.52385</v>
      </c>
      <c r="AR26" s="54">
        <f t="array" ref="AR26">-(IF(AR$2=1,Assumptions!$AF27/12,-(SUMIF($D$2:$EE$2,AR$2-1,$D26:$EE26)/12)*(1+XLOOKUP(AR$2,Assumptions!$C$94:$M$94,Assumptions!$C$98:$M$98))))</f>
        <v>-13442.52385</v>
      </c>
      <c r="AS26" s="54">
        <f t="array" ref="AS26">-(IF(AS$2=1,Assumptions!$AF27/12,-(SUMIF($D$2:$EE$2,AS$2-1,$D26:$EE26)/12)*(1+XLOOKUP(AS$2,Assumptions!$C$94:$M$94,Assumptions!$C$98:$M$98))))</f>
        <v>-13442.52385</v>
      </c>
      <c r="AT26" s="54">
        <f t="array" ref="AT26">-(IF(AT$2=1,Assumptions!$AF27/12,-(SUMIF($D$2:$EE$2,AT$2-1,$D26:$EE26)/12)*(1+XLOOKUP(AT$2,Assumptions!$C$94:$M$94,Assumptions!$C$98:$M$98))))</f>
        <v>-13442.52385</v>
      </c>
      <c r="AU26" s="54">
        <f t="array" ref="AU26">-(IF(AU$2=1,Assumptions!$AF27/12,-(SUMIF($D$2:$EE$2,AU$2-1,$D26:$EE26)/12)*(1+XLOOKUP(AU$2,Assumptions!$C$94:$M$94,Assumptions!$C$98:$M$98))))</f>
        <v>-13442.52385</v>
      </c>
      <c r="AV26" s="54">
        <f t="array" ref="AV26">-(IF(AV$2=1,Assumptions!$AF27/12,-(SUMIF($D$2:$EE$2,AV$2-1,$D26:$EE26)/12)*(1+XLOOKUP(AV$2,Assumptions!$C$94:$M$94,Assumptions!$C$98:$M$98))))</f>
        <v>-13442.52385</v>
      </c>
      <c r="AW26" s="54">
        <f t="array" ref="AW26">-(IF(AW$2=1,Assumptions!$AF27/12,-(SUMIF($D$2:$EE$2,AW$2-1,$D26:$EE26)/12)*(1+XLOOKUP(AW$2,Assumptions!$C$94:$M$94,Assumptions!$C$98:$M$98))))</f>
        <v>-13442.52385</v>
      </c>
      <c r="AX26" s="54">
        <f t="array" ref="AX26">-(IF(AX$2=1,Assumptions!$AF27/12,-(SUMIF($D$2:$EE$2,AX$2-1,$D26:$EE26)/12)*(1+XLOOKUP(AX$2,Assumptions!$C$94:$M$94,Assumptions!$C$98:$M$98))))</f>
        <v>-13442.52385</v>
      </c>
      <c r="AY26" s="54">
        <f t="array" ref="AY26">-(IF(AY$2=1,Assumptions!$AF27/12,-(SUMIF($D$2:$EE$2,AY$2-1,$D26:$EE26)/12)*(1+XLOOKUP(AY$2,Assumptions!$C$94:$M$94,Assumptions!$C$98:$M$98))))</f>
        <v>-13442.52385</v>
      </c>
      <c r="AZ26" s="54">
        <f t="array" ref="AZ26">-(IF(AZ$2=1,Assumptions!$AF27/12,-(SUMIF($D$2:$EE$2,AZ$2-1,$D26:$EE26)/12)*(1+XLOOKUP(AZ$2,Assumptions!$C$94:$M$94,Assumptions!$C$98:$M$98))))</f>
        <v>-13845.79957</v>
      </c>
      <c r="BA26" s="54">
        <f t="array" ref="BA26">-(IF(BA$2=1,Assumptions!$AF27/12,-(SUMIF($D$2:$EE$2,BA$2-1,$D26:$EE26)/12)*(1+XLOOKUP(BA$2,Assumptions!$C$94:$M$94,Assumptions!$C$98:$M$98))))</f>
        <v>-13845.79957</v>
      </c>
      <c r="BB26" s="54">
        <f t="array" ref="BB26">-(IF(BB$2=1,Assumptions!$AF27/12,-(SUMIF($D$2:$EE$2,BB$2-1,$D26:$EE26)/12)*(1+XLOOKUP(BB$2,Assumptions!$C$94:$M$94,Assumptions!$C$98:$M$98))))</f>
        <v>-13845.79957</v>
      </c>
      <c r="BC26" s="54">
        <f t="array" ref="BC26">-(IF(BC$2=1,Assumptions!$AF27/12,-(SUMIF($D$2:$EE$2,BC$2-1,$D26:$EE26)/12)*(1+XLOOKUP(BC$2,Assumptions!$C$94:$M$94,Assumptions!$C$98:$M$98))))</f>
        <v>-13845.79957</v>
      </c>
      <c r="BD26" s="54">
        <f t="array" ref="BD26">-(IF(BD$2=1,Assumptions!$AF27/12,-(SUMIF($D$2:$EE$2,BD$2-1,$D26:$EE26)/12)*(1+XLOOKUP(BD$2,Assumptions!$C$94:$M$94,Assumptions!$C$98:$M$98))))</f>
        <v>-13845.79957</v>
      </c>
      <c r="BE26" s="54">
        <f t="array" ref="BE26">-(IF(BE$2=1,Assumptions!$AF27/12,-(SUMIF($D$2:$EE$2,BE$2-1,$D26:$EE26)/12)*(1+XLOOKUP(BE$2,Assumptions!$C$94:$M$94,Assumptions!$C$98:$M$98))))</f>
        <v>-13845.79957</v>
      </c>
      <c r="BF26" s="54">
        <f t="array" ref="BF26">-(IF(BF$2=1,Assumptions!$AF27/12,-(SUMIF($D$2:$EE$2,BF$2-1,$D26:$EE26)/12)*(1+XLOOKUP(BF$2,Assumptions!$C$94:$M$94,Assumptions!$C$98:$M$98))))</f>
        <v>-13845.79957</v>
      </c>
      <c r="BG26" s="54">
        <f t="array" ref="BG26">-(IF(BG$2=1,Assumptions!$AF27/12,-(SUMIF($D$2:$EE$2,BG$2-1,$D26:$EE26)/12)*(1+XLOOKUP(BG$2,Assumptions!$C$94:$M$94,Assumptions!$C$98:$M$98))))</f>
        <v>-13845.79957</v>
      </c>
      <c r="BH26" s="54">
        <f t="array" ref="BH26">-(IF(BH$2=1,Assumptions!$AF27/12,-(SUMIF($D$2:$EE$2,BH$2-1,$D26:$EE26)/12)*(1+XLOOKUP(BH$2,Assumptions!$C$94:$M$94,Assumptions!$C$98:$M$98))))</f>
        <v>-13845.79957</v>
      </c>
      <c r="BI26" s="54">
        <f t="array" ref="BI26">-(IF(BI$2=1,Assumptions!$AF27/12,-(SUMIF($D$2:$EE$2,BI$2-1,$D26:$EE26)/12)*(1+XLOOKUP(BI$2,Assumptions!$C$94:$M$94,Assumptions!$C$98:$M$98))))</f>
        <v>-13845.79957</v>
      </c>
      <c r="BJ26" s="54">
        <f t="array" ref="BJ26">-(IF(BJ$2=1,Assumptions!$AF27/12,-(SUMIF($D$2:$EE$2,BJ$2-1,$D26:$EE26)/12)*(1+XLOOKUP(BJ$2,Assumptions!$C$94:$M$94,Assumptions!$C$98:$M$98))))</f>
        <v>-13845.79957</v>
      </c>
      <c r="BK26" s="54">
        <f t="array" ref="BK26">-(IF(BK$2=1,Assumptions!$AF27/12,-(SUMIF($D$2:$EE$2,BK$2-1,$D26:$EE26)/12)*(1+XLOOKUP(BK$2,Assumptions!$C$94:$M$94,Assumptions!$C$98:$M$98))))</f>
        <v>-13845.79957</v>
      </c>
      <c r="BL26" s="54">
        <f t="array" ref="BL26">-(IF(BL$2=1,Assumptions!$AF27/12,-(SUMIF($D$2:$EE$2,BL$2-1,$D26:$EE26)/12)*(1+XLOOKUP(BL$2,Assumptions!$C$94:$M$94,Assumptions!$C$98:$M$98))))</f>
        <v>-14261.17355</v>
      </c>
      <c r="BM26" s="54">
        <f t="array" ref="BM26">-(IF(BM$2=1,Assumptions!$AF27/12,-(SUMIF($D$2:$EE$2,BM$2-1,$D26:$EE26)/12)*(1+XLOOKUP(BM$2,Assumptions!$C$94:$M$94,Assumptions!$C$98:$M$98))))</f>
        <v>-14261.17355</v>
      </c>
      <c r="BN26" s="54">
        <f t="array" ref="BN26">-(IF(BN$2=1,Assumptions!$AF27/12,-(SUMIF($D$2:$EE$2,BN$2-1,$D26:$EE26)/12)*(1+XLOOKUP(BN$2,Assumptions!$C$94:$M$94,Assumptions!$C$98:$M$98))))</f>
        <v>-14261.17355</v>
      </c>
      <c r="BO26" s="54">
        <f t="array" ref="BO26">-(IF(BO$2=1,Assumptions!$AF27/12,-(SUMIF($D$2:$EE$2,BO$2-1,$D26:$EE26)/12)*(1+XLOOKUP(BO$2,Assumptions!$C$94:$M$94,Assumptions!$C$98:$M$98))))</f>
        <v>-14261.17355</v>
      </c>
      <c r="BP26" s="54">
        <f t="array" ref="BP26">-(IF(BP$2=1,Assumptions!$AF27/12,-(SUMIF($D$2:$EE$2,BP$2-1,$D26:$EE26)/12)*(1+XLOOKUP(BP$2,Assumptions!$C$94:$M$94,Assumptions!$C$98:$M$98))))</f>
        <v>-14261.17355</v>
      </c>
      <c r="BQ26" s="54">
        <f t="array" ref="BQ26">-(IF(BQ$2=1,Assumptions!$AF27/12,-(SUMIF($D$2:$EE$2,BQ$2-1,$D26:$EE26)/12)*(1+XLOOKUP(BQ$2,Assumptions!$C$94:$M$94,Assumptions!$C$98:$M$98))))</f>
        <v>-14261.17355</v>
      </c>
      <c r="BR26" s="54">
        <f t="array" ref="BR26">-(IF(BR$2=1,Assumptions!$AF27/12,-(SUMIF($D$2:$EE$2,BR$2-1,$D26:$EE26)/12)*(1+XLOOKUP(BR$2,Assumptions!$C$94:$M$94,Assumptions!$C$98:$M$98))))</f>
        <v>-14261.17355</v>
      </c>
      <c r="BS26" s="54">
        <f t="array" ref="BS26">-(IF(BS$2=1,Assumptions!$AF27/12,-(SUMIF($D$2:$EE$2,BS$2-1,$D26:$EE26)/12)*(1+XLOOKUP(BS$2,Assumptions!$C$94:$M$94,Assumptions!$C$98:$M$98))))</f>
        <v>-14261.17355</v>
      </c>
      <c r="BT26" s="54">
        <f t="array" ref="BT26">-(IF(BT$2=1,Assumptions!$AF27/12,-(SUMIF($D$2:$EE$2,BT$2-1,$D26:$EE26)/12)*(1+XLOOKUP(BT$2,Assumptions!$C$94:$M$94,Assumptions!$C$98:$M$98))))</f>
        <v>-14261.17355</v>
      </c>
      <c r="BU26" s="54">
        <f t="array" ref="BU26">-(IF(BU$2=1,Assumptions!$AF27/12,-(SUMIF($D$2:$EE$2,BU$2-1,$D26:$EE26)/12)*(1+XLOOKUP(BU$2,Assumptions!$C$94:$M$94,Assumptions!$C$98:$M$98))))</f>
        <v>-14261.17355</v>
      </c>
      <c r="BV26" s="54">
        <f t="array" ref="BV26">-(IF(BV$2=1,Assumptions!$AF27/12,-(SUMIF($D$2:$EE$2,BV$2-1,$D26:$EE26)/12)*(1+XLOOKUP(BV$2,Assumptions!$C$94:$M$94,Assumptions!$C$98:$M$98))))</f>
        <v>-14261.17355</v>
      </c>
      <c r="BW26" s="54">
        <f t="array" ref="BW26">-(IF(BW$2=1,Assumptions!$AF27/12,-(SUMIF($D$2:$EE$2,BW$2-1,$D26:$EE26)/12)*(1+XLOOKUP(BW$2,Assumptions!$C$94:$M$94,Assumptions!$C$98:$M$98))))</f>
        <v>-14261.17355</v>
      </c>
      <c r="BX26" s="54">
        <f t="array" ref="BX26">-(IF(BX$2=1,Assumptions!$AF27/12,-(SUMIF($D$2:$EE$2,BX$2-1,$D26:$EE26)/12)*(1+XLOOKUP(BX$2,Assumptions!$C$94:$M$94,Assumptions!$C$98:$M$98))))</f>
        <v>-14689.00876</v>
      </c>
      <c r="BY26" s="54">
        <f t="array" ref="BY26">-(IF(BY$2=1,Assumptions!$AF27/12,-(SUMIF($D$2:$EE$2,BY$2-1,$D26:$EE26)/12)*(1+XLOOKUP(BY$2,Assumptions!$C$94:$M$94,Assumptions!$C$98:$M$98))))</f>
        <v>-14689.00876</v>
      </c>
      <c r="BZ26" s="54">
        <f t="array" ref="BZ26">-(IF(BZ$2=1,Assumptions!$AF27/12,-(SUMIF($D$2:$EE$2,BZ$2-1,$D26:$EE26)/12)*(1+XLOOKUP(BZ$2,Assumptions!$C$94:$M$94,Assumptions!$C$98:$M$98))))</f>
        <v>-14689.00876</v>
      </c>
      <c r="CA26" s="54">
        <f t="array" ref="CA26">-(IF(CA$2=1,Assumptions!$AF27/12,-(SUMIF($D$2:$EE$2,CA$2-1,$D26:$EE26)/12)*(1+XLOOKUP(CA$2,Assumptions!$C$94:$M$94,Assumptions!$C$98:$M$98))))</f>
        <v>-14689.00876</v>
      </c>
      <c r="CB26" s="54">
        <f t="array" ref="CB26">-(IF(CB$2=1,Assumptions!$AF27/12,-(SUMIF($D$2:$EE$2,CB$2-1,$D26:$EE26)/12)*(1+XLOOKUP(CB$2,Assumptions!$C$94:$M$94,Assumptions!$C$98:$M$98))))</f>
        <v>-14689.00876</v>
      </c>
      <c r="CC26" s="54">
        <f t="array" ref="CC26">-(IF(CC$2=1,Assumptions!$AF27/12,-(SUMIF($D$2:$EE$2,CC$2-1,$D26:$EE26)/12)*(1+XLOOKUP(CC$2,Assumptions!$C$94:$M$94,Assumptions!$C$98:$M$98))))</f>
        <v>-14689.00876</v>
      </c>
      <c r="CD26" s="54">
        <f t="array" ref="CD26">-(IF(CD$2=1,Assumptions!$AF27/12,-(SUMIF($D$2:$EE$2,CD$2-1,$D26:$EE26)/12)*(1+XLOOKUP(CD$2,Assumptions!$C$94:$M$94,Assumptions!$C$98:$M$98))))</f>
        <v>-14689.00876</v>
      </c>
      <c r="CE26" s="54">
        <f t="array" ref="CE26">-(IF(CE$2=1,Assumptions!$AF27/12,-(SUMIF($D$2:$EE$2,CE$2-1,$D26:$EE26)/12)*(1+XLOOKUP(CE$2,Assumptions!$C$94:$M$94,Assumptions!$C$98:$M$98))))</f>
        <v>-14689.00876</v>
      </c>
      <c r="CF26" s="54">
        <f t="array" ref="CF26">-(IF(CF$2=1,Assumptions!$AF27/12,-(SUMIF($D$2:$EE$2,CF$2-1,$D26:$EE26)/12)*(1+XLOOKUP(CF$2,Assumptions!$C$94:$M$94,Assumptions!$C$98:$M$98))))</f>
        <v>-14689.00876</v>
      </c>
      <c r="CG26" s="54">
        <f t="array" ref="CG26">-(IF(CG$2=1,Assumptions!$AF27/12,-(SUMIF($D$2:$EE$2,CG$2-1,$D26:$EE26)/12)*(1+XLOOKUP(CG$2,Assumptions!$C$94:$M$94,Assumptions!$C$98:$M$98))))</f>
        <v>-14689.00876</v>
      </c>
      <c r="CH26" s="54">
        <f t="array" ref="CH26">-(IF(CH$2=1,Assumptions!$AF27/12,-(SUMIF($D$2:$EE$2,CH$2-1,$D26:$EE26)/12)*(1+XLOOKUP(CH$2,Assumptions!$C$94:$M$94,Assumptions!$C$98:$M$98))))</f>
        <v>-14689.00876</v>
      </c>
      <c r="CI26" s="54">
        <f t="array" ref="CI26">-(IF(CI$2=1,Assumptions!$AF27/12,-(SUMIF($D$2:$EE$2,CI$2-1,$D26:$EE26)/12)*(1+XLOOKUP(CI$2,Assumptions!$C$94:$M$94,Assumptions!$C$98:$M$98))))</f>
        <v>-14689.00876</v>
      </c>
      <c r="CJ26" s="54">
        <f t="array" ref="CJ26">-(IF(CJ$2=1,Assumptions!$AF27/12,-(SUMIF($D$2:$EE$2,CJ$2-1,$D26:$EE26)/12)*(1+XLOOKUP(CJ$2,Assumptions!$C$94:$M$94,Assumptions!$C$98:$M$98))))</f>
        <v>-15129.67902</v>
      </c>
      <c r="CK26" s="54">
        <f t="array" ref="CK26">-(IF(CK$2=1,Assumptions!$AF27/12,-(SUMIF($D$2:$EE$2,CK$2-1,$D26:$EE26)/12)*(1+XLOOKUP(CK$2,Assumptions!$C$94:$M$94,Assumptions!$C$98:$M$98))))</f>
        <v>-15129.67902</v>
      </c>
      <c r="CL26" s="54">
        <f t="array" ref="CL26">-(IF(CL$2=1,Assumptions!$AF27/12,-(SUMIF($D$2:$EE$2,CL$2-1,$D26:$EE26)/12)*(1+XLOOKUP(CL$2,Assumptions!$C$94:$M$94,Assumptions!$C$98:$M$98))))</f>
        <v>-15129.67902</v>
      </c>
      <c r="CM26" s="54">
        <f t="array" ref="CM26">-(IF(CM$2=1,Assumptions!$AF27/12,-(SUMIF($D$2:$EE$2,CM$2-1,$D26:$EE26)/12)*(1+XLOOKUP(CM$2,Assumptions!$C$94:$M$94,Assumptions!$C$98:$M$98))))</f>
        <v>-15129.67902</v>
      </c>
      <c r="CN26" s="54">
        <f t="array" ref="CN26">-(IF(CN$2=1,Assumptions!$AF27/12,-(SUMIF($D$2:$EE$2,CN$2-1,$D26:$EE26)/12)*(1+XLOOKUP(CN$2,Assumptions!$C$94:$M$94,Assumptions!$C$98:$M$98))))</f>
        <v>-15129.67902</v>
      </c>
      <c r="CO26" s="54">
        <f t="array" ref="CO26">-(IF(CO$2=1,Assumptions!$AF27/12,-(SUMIF($D$2:$EE$2,CO$2-1,$D26:$EE26)/12)*(1+XLOOKUP(CO$2,Assumptions!$C$94:$M$94,Assumptions!$C$98:$M$98))))</f>
        <v>-15129.67902</v>
      </c>
      <c r="CP26" s="54">
        <f t="array" ref="CP26">-(IF(CP$2=1,Assumptions!$AF27/12,-(SUMIF($D$2:$EE$2,CP$2-1,$D26:$EE26)/12)*(1+XLOOKUP(CP$2,Assumptions!$C$94:$M$94,Assumptions!$C$98:$M$98))))</f>
        <v>-15129.67902</v>
      </c>
      <c r="CQ26" s="54">
        <f t="array" ref="CQ26">-(IF(CQ$2=1,Assumptions!$AF27/12,-(SUMIF($D$2:$EE$2,CQ$2-1,$D26:$EE26)/12)*(1+XLOOKUP(CQ$2,Assumptions!$C$94:$M$94,Assumptions!$C$98:$M$98))))</f>
        <v>-15129.67902</v>
      </c>
      <c r="CR26" s="54">
        <f t="array" ref="CR26">-(IF(CR$2=1,Assumptions!$AF27/12,-(SUMIF($D$2:$EE$2,CR$2-1,$D26:$EE26)/12)*(1+XLOOKUP(CR$2,Assumptions!$C$94:$M$94,Assumptions!$C$98:$M$98))))</f>
        <v>-15129.67902</v>
      </c>
      <c r="CS26" s="54">
        <f t="array" ref="CS26">-(IF(CS$2=1,Assumptions!$AF27/12,-(SUMIF($D$2:$EE$2,CS$2-1,$D26:$EE26)/12)*(1+XLOOKUP(CS$2,Assumptions!$C$94:$M$94,Assumptions!$C$98:$M$98))))</f>
        <v>-15129.67902</v>
      </c>
      <c r="CT26" s="54">
        <f t="array" ref="CT26">-(IF(CT$2=1,Assumptions!$AF27/12,-(SUMIF($D$2:$EE$2,CT$2-1,$D26:$EE26)/12)*(1+XLOOKUP(CT$2,Assumptions!$C$94:$M$94,Assumptions!$C$98:$M$98))))</f>
        <v>-15129.67902</v>
      </c>
      <c r="CU26" s="54">
        <f t="array" ref="CU26">-(IF(CU$2=1,Assumptions!$AF27/12,-(SUMIF($D$2:$EE$2,CU$2-1,$D26:$EE26)/12)*(1+XLOOKUP(CU$2,Assumptions!$C$94:$M$94,Assumptions!$C$98:$M$98))))</f>
        <v>-15129.67902</v>
      </c>
      <c r="CV26" s="54">
        <f t="array" ref="CV26">-(IF(CV$2=1,Assumptions!$AF27/12,-(SUMIF($D$2:$EE$2,CV$2-1,$D26:$EE26)/12)*(1+XLOOKUP(CV$2,Assumptions!$C$94:$M$94,Assumptions!$C$98:$M$98))))</f>
        <v>-15583.56939</v>
      </c>
      <c r="CW26" s="54">
        <f t="array" ref="CW26">-(IF(CW$2=1,Assumptions!$AF27/12,-(SUMIF($D$2:$EE$2,CW$2-1,$D26:$EE26)/12)*(1+XLOOKUP(CW$2,Assumptions!$C$94:$M$94,Assumptions!$C$98:$M$98))))</f>
        <v>-15583.56939</v>
      </c>
      <c r="CX26" s="54">
        <f t="array" ref="CX26">-(IF(CX$2=1,Assumptions!$AF27/12,-(SUMIF($D$2:$EE$2,CX$2-1,$D26:$EE26)/12)*(1+XLOOKUP(CX$2,Assumptions!$C$94:$M$94,Assumptions!$C$98:$M$98))))</f>
        <v>-15583.56939</v>
      </c>
      <c r="CY26" s="54">
        <f t="array" ref="CY26">-(IF(CY$2=1,Assumptions!$AF27/12,-(SUMIF($D$2:$EE$2,CY$2-1,$D26:$EE26)/12)*(1+XLOOKUP(CY$2,Assumptions!$C$94:$M$94,Assumptions!$C$98:$M$98))))</f>
        <v>-15583.56939</v>
      </c>
      <c r="CZ26" s="54">
        <f t="array" ref="CZ26">-(IF(CZ$2=1,Assumptions!$AF27/12,-(SUMIF($D$2:$EE$2,CZ$2-1,$D26:$EE26)/12)*(1+XLOOKUP(CZ$2,Assumptions!$C$94:$M$94,Assumptions!$C$98:$M$98))))</f>
        <v>-15583.56939</v>
      </c>
      <c r="DA26" s="54">
        <f t="array" ref="DA26">-(IF(DA$2=1,Assumptions!$AF27/12,-(SUMIF($D$2:$EE$2,DA$2-1,$D26:$EE26)/12)*(1+XLOOKUP(DA$2,Assumptions!$C$94:$M$94,Assumptions!$C$98:$M$98))))</f>
        <v>-15583.56939</v>
      </c>
      <c r="DB26" s="54">
        <f t="array" ref="DB26">-(IF(DB$2=1,Assumptions!$AF27/12,-(SUMIF($D$2:$EE$2,DB$2-1,$D26:$EE26)/12)*(1+XLOOKUP(DB$2,Assumptions!$C$94:$M$94,Assumptions!$C$98:$M$98))))</f>
        <v>-15583.56939</v>
      </c>
      <c r="DC26" s="54">
        <f t="array" ref="DC26">-(IF(DC$2=1,Assumptions!$AF27/12,-(SUMIF($D$2:$EE$2,DC$2-1,$D26:$EE26)/12)*(1+XLOOKUP(DC$2,Assumptions!$C$94:$M$94,Assumptions!$C$98:$M$98))))</f>
        <v>-15583.56939</v>
      </c>
      <c r="DD26" s="54">
        <f t="array" ref="DD26">-(IF(DD$2=1,Assumptions!$AF27/12,-(SUMIF($D$2:$EE$2,DD$2-1,$D26:$EE26)/12)*(1+XLOOKUP(DD$2,Assumptions!$C$94:$M$94,Assumptions!$C$98:$M$98))))</f>
        <v>-15583.56939</v>
      </c>
      <c r="DE26" s="54">
        <f t="array" ref="DE26">-(IF(DE$2=1,Assumptions!$AF27/12,-(SUMIF($D$2:$EE$2,DE$2-1,$D26:$EE26)/12)*(1+XLOOKUP(DE$2,Assumptions!$C$94:$M$94,Assumptions!$C$98:$M$98))))</f>
        <v>-15583.56939</v>
      </c>
      <c r="DF26" s="54">
        <f t="array" ref="DF26">-(IF(DF$2=1,Assumptions!$AF27/12,-(SUMIF($D$2:$EE$2,DF$2-1,$D26:$EE26)/12)*(1+XLOOKUP(DF$2,Assumptions!$C$94:$M$94,Assumptions!$C$98:$M$98))))</f>
        <v>-15583.56939</v>
      </c>
      <c r="DG26" s="54">
        <f t="array" ref="DG26">-(IF(DG$2=1,Assumptions!$AF27/12,-(SUMIF($D$2:$EE$2,DG$2-1,$D26:$EE26)/12)*(1+XLOOKUP(DG$2,Assumptions!$C$94:$M$94,Assumptions!$C$98:$M$98))))</f>
        <v>-15583.56939</v>
      </c>
      <c r="DH26" s="54">
        <f t="array" ref="DH26">-(IF(DH$2=1,Assumptions!$AF27/12,-(SUMIF($D$2:$EE$2,DH$2-1,$D26:$EE26)/12)*(1+XLOOKUP(DH$2,Assumptions!$C$94:$M$94,Assumptions!$C$98:$M$98))))</f>
        <v>-16051.07648</v>
      </c>
      <c r="DI26" s="54">
        <f t="array" ref="DI26">-(IF(DI$2=1,Assumptions!$AF27/12,-(SUMIF($D$2:$EE$2,DI$2-1,$D26:$EE26)/12)*(1+XLOOKUP(DI$2,Assumptions!$C$94:$M$94,Assumptions!$C$98:$M$98))))</f>
        <v>-16051.07648</v>
      </c>
      <c r="DJ26" s="54">
        <f t="array" ref="DJ26">-(IF(DJ$2=1,Assumptions!$AF27/12,-(SUMIF($D$2:$EE$2,DJ$2-1,$D26:$EE26)/12)*(1+XLOOKUP(DJ$2,Assumptions!$C$94:$M$94,Assumptions!$C$98:$M$98))))</f>
        <v>-16051.07648</v>
      </c>
      <c r="DK26" s="54">
        <f t="array" ref="DK26">-(IF(DK$2=1,Assumptions!$AF27/12,-(SUMIF($D$2:$EE$2,DK$2-1,$D26:$EE26)/12)*(1+XLOOKUP(DK$2,Assumptions!$C$94:$M$94,Assumptions!$C$98:$M$98))))</f>
        <v>-16051.07648</v>
      </c>
      <c r="DL26" s="54">
        <f t="array" ref="DL26">-(IF(DL$2=1,Assumptions!$AF27/12,-(SUMIF($D$2:$EE$2,DL$2-1,$D26:$EE26)/12)*(1+XLOOKUP(DL$2,Assumptions!$C$94:$M$94,Assumptions!$C$98:$M$98))))</f>
        <v>-16051.07648</v>
      </c>
      <c r="DM26" s="54">
        <f t="array" ref="DM26">-(IF(DM$2=1,Assumptions!$AF27/12,-(SUMIF($D$2:$EE$2,DM$2-1,$D26:$EE26)/12)*(1+XLOOKUP(DM$2,Assumptions!$C$94:$M$94,Assumptions!$C$98:$M$98))))</f>
        <v>-16051.07648</v>
      </c>
      <c r="DN26" s="54">
        <f t="array" ref="DN26">-(IF(DN$2=1,Assumptions!$AF27/12,-(SUMIF($D$2:$EE$2,DN$2-1,$D26:$EE26)/12)*(1+XLOOKUP(DN$2,Assumptions!$C$94:$M$94,Assumptions!$C$98:$M$98))))</f>
        <v>-16051.07648</v>
      </c>
      <c r="DO26" s="54">
        <f t="array" ref="DO26">-(IF(DO$2=1,Assumptions!$AF27/12,-(SUMIF($D$2:$EE$2,DO$2-1,$D26:$EE26)/12)*(1+XLOOKUP(DO$2,Assumptions!$C$94:$M$94,Assumptions!$C$98:$M$98))))</f>
        <v>-16051.07648</v>
      </c>
      <c r="DP26" s="54">
        <f t="array" ref="DP26">-(IF(DP$2=1,Assumptions!$AF27/12,-(SUMIF($D$2:$EE$2,DP$2-1,$D26:$EE26)/12)*(1+XLOOKUP(DP$2,Assumptions!$C$94:$M$94,Assumptions!$C$98:$M$98))))</f>
        <v>-16051.07648</v>
      </c>
      <c r="DQ26" s="54">
        <f t="array" ref="DQ26">-(IF(DQ$2=1,Assumptions!$AF27/12,-(SUMIF($D$2:$EE$2,DQ$2-1,$D26:$EE26)/12)*(1+XLOOKUP(DQ$2,Assumptions!$C$94:$M$94,Assumptions!$C$98:$M$98))))</f>
        <v>-16051.07648</v>
      </c>
      <c r="DR26" s="54">
        <f t="array" ref="DR26">-(IF(DR$2=1,Assumptions!$AF27/12,-(SUMIF($D$2:$EE$2,DR$2-1,$D26:$EE26)/12)*(1+XLOOKUP(DR$2,Assumptions!$C$94:$M$94,Assumptions!$C$98:$M$98))))</f>
        <v>-16051.07648</v>
      </c>
      <c r="DS26" s="54">
        <f t="array" ref="DS26">-(IF(DS$2=1,Assumptions!$AF27/12,-(SUMIF($D$2:$EE$2,DS$2-1,$D26:$EE26)/12)*(1+XLOOKUP(DS$2,Assumptions!$C$94:$M$94,Assumptions!$C$98:$M$98))))</f>
        <v>-16051.07648</v>
      </c>
      <c r="DT26" s="54">
        <f t="array" ref="DT26">-(IF(DT$2=1,Assumptions!$AF27/12,-(SUMIF($D$2:$EE$2,DT$2-1,$D26:$EE26)/12)*(1+XLOOKUP(DT$2,Assumptions!$C$94:$M$94,Assumptions!$C$98:$M$98))))</f>
        <v>-16532.60877</v>
      </c>
      <c r="DU26" s="54">
        <f t="array" ref="DU26">-(IF(DU$2=1,Assumptions!$AF27/12,-(SUMIF($D$2:$EE$2,DU$2-1,$D26:$EE26)/12)*(1+XLOOKUP(DU$2,Assumptions!$C$94:$M$94,Assumptions!$C$98:$M$98))))</f>
        <v>-16532.60877</v>
      </c>
      <c r="DV26" s="54">
        <f t="array" ref="DV26">-(IF(DV$2=1,Assumptions!$AF27/12,-(SUMIF($D$2:$EE$2,DV$2-1,$D26:$EE26)/12)*(1+XLOOKUP(DV$2,Assumptions!$C$94:$M$94,Assumptions!$C$98:$M$98))))</f>
        <v>-16532.60877</v>
      </c>
      <c r="DW26" s="54">
        <f t="array" ref="DW26">-(IF(DW$2=1,Assumptions!$AF27/12,-(SUMIF($D$2:$EE$2,DW$2-1,$D26:$EE26)/12)*(1+XLOOKUP(DW$2,Assumptions!$C$94:$M$94,Assumptions!$C$98:$M$98))))</f>
        <v>-16532.60877</v>
      </c>
      <c r="DX26" s="54">
        <f t="array" ref="DX26">-(IF(DX$2=1,Assumptions!$AF27/12,-(SUMIF($D$2:$EE$2,DX$2-1,$D26:$EE26)/12)*(1+XLOOKUP(DX$2,Assumptions!$C$94:$M$94,Assumptions!$C$98:$M$98))))</f>
        <v>-16532.60877</v>
      </c>
      <c r="DY26" s="54">
        <f t="array" ref="DY26">-(IF(DY$2=1,Assumptions!$AF27/12,-(SUMIF($D$2:$EE$2,DY$2-1,$D26:$EE26)/12)*(1+XLOOKUP(DY$2,Assumptions!$C$94:$M$94,Assumptions!$C$98:$M$98))))</f>
        <v>-16532.60877</v>
      </c>
      <c r="DZ26" s="54">
        <f t="array" ref="DZ26">-(IF(DZ$2=1,Assumptions!$AF27/12,-(SUMIF($D$2:$EE$2,DZ$2-1,$D26:$EE26)/12)*(1+XLOOKUP(DZ$2,Assumptions!$C$94:$M$94,Assumptions!$C$98:$M$98))))</f>
        <v>-16532.60877</v>
      </c>
      <c r="EA26" s="54">
        <f t="array" ref="EA26">-(IF(EA$2=1,Assumptions!$AF27/12,-(SUMIF($D$2:$EE$2,EA$2-1,$D26:$EE26)/12)*(1+XLOOKUP(EA$2,Assumptions!$C$94:$M$94,Assumptions!$C$98:$M$98))))</f>
        <v>-16532.60877</v>
      </c>
      <c r="EB26" s="54">
        <f t="array" ref="EB26">-(IF(EB$2=1,Assumptions!$AF27/12,-(SUMIF($D$2:$EE$2,EB$2-1,$D26:$EE26)/12)*(1+XLOOKUP(EB$2,Assumptions!$C$94:$M$94,Assumptions!$C$98:$M$98))))</f>
        <v>-16532.60877</v>
      </c>
      <c r="EC26" s="54">
        <f t="array" ref="EC26">-(IF(EC$2=1,Assumptions!$AF27/12,-(SUMIF($D$2:$EE$2,EC$2-1,$D26:$EE26)/12)*(1+XLOOKUP(EC$2,Assumptions!$C$94:$M$94,Assumptions!$C$98:$M$98))))</f>
        <v>-16532.60877</v>
      </c>
      <c r="ED26" s="54">
        <f t="array" ref="ED26">-(IF(ED$2=1,Assumptions!$AF27/12,-(SUMIF($D$2:$EE$2,ED$2-1,$D26:$EE26)/12)*(1+XLOOKUP(ED$2,Assumptions!$C$94:$M$94,Assumptions!$C$98:$M$98))))</f>
        <v>-16532.60877</v>
      </c>
      <c r="EE26" s="54">
        <f t="array" ref="EE26">-(IF(EE$2=1,Assumptions!$AF27/12,-(SUMIF($D$2:$EE$2,EE$2-1,$D26:$EE26)/12)*(1+XLOOKUP(EE$2,Assumptions!$C$94:$M$94,Assumptions!$C$98:$M$98))))</f>
        <v>-16532.60877</v>
      </c>
    </row>
    <row r="27" ht="15.75" customHeight="1">
      <c r="A27" s="1"/>
      <c r="B27" s="1"/>
      <c r="C27" s="1" t="str">
        <f>Assumptions!J28</f>
        <v>Other Utilities</v>
      </c>
      <c r="D27" s="54">
        <f t="array" ref="D27">-(IF(D$2=1,Assumptions!$AF28/12,-(SUMIF($D$2:$EE$2,D$2-1,$D27:$EE27)/12)*(1+XLOOKUP(D$2,Assumptions!$C$94:$M$94,Assumptions!$C$98:$M$98))))</f>
        <v>-7578.60095</v>
      </c>
      <c r="E27" s="54">
        <f t="array" ref="E27">-(IF(E$2=1,Assumptions!$AF28/12,-(SUMIF($D$2:$EE$2,E$2-1,$D27:$EE27)/12)*(1+XLOOKUP(E$2,Assumptions!$C$94:$M$94,Assumptions!$C$98:$M$98))))</f>
        <v>-7578.60095</v>
      </c>
      <c r="F27" s="54">
        <f t="array" ref="F27">-(IF(F$2=1,Assumptions!$AF28/12,-(SUMIF($D$2:$EE$2,F$2-1,$D27:$EE27)/12)*(1+XLOOKUP(F$2,Assumptions!$C$94:$M$94,Assumptions!$C$98:$M$98))))</f>
        <v>-7578.60095</v>
      </c>
      <c r="G27" s="54">
        <f t="array" ref="G27">-(IF(G$2=1,Assumptions!$AF28/12,-(SUMIF($D$2:$EE$2,G$2-1,$D27:$EE27)/12)*(1+XLOOKUP(G$2,Assumptions!$C$94:$M$94,Assumptions!$C$98:$M$98))))</f>
        <v>-7578.60095</v>
      </c>
      <c r="H27" s="54">
        <f t="array" ref="H27">-(IF(H$2=1,Assumptions!$AF28/12,-(SUMIF($D$2:$EE$2,H$2-1,$D27:$EE27)/12)*(1+XLOOKUP(H$2,Assumptions!$C$94:$M$94,Assumptions!$C$98:$M$98))))</f>
        <v>-7578.60095</v>
      </c>
      <c r="I27" s="54">
        <f t="array" ref="I27">-(IF(I$2=1,Assumptions!$AF28/12,-(SUMIF($D$2:$EE$2,I$2-1,$D27:$EE27)/12)*(1+XLOOKUP(I$2,Assumptions!$C$94:$M$94,Assumptions!$C$98:$M$98))))</f>
        <v>-7578.60095</v>
      </c>
      <c r="J27" s="54">
        <f t="array" ref="J27">-(IF(J$2=1,Assumptions!$AF28/12,-(SUMIF($D$2:$EE$2,J$2-1,$D27:$EE27)/12)*(1+XLOOKUP(J$2,Assumptions!$C$94:$M$94,Assumptions!$C$98:$M$98))))</f>
        <v>-7578.60095</v>
      </c>
      <c r="K27" s="54">
        <f t="array" ref="K27">-(IF(K$2=1,Assumptions!$AF28/12,-(SUMIF($D$2:$EE$2,K$2-1,$D27:$EE27)/12)*(1+XLOOKUP(K$2,Assumptions!$C$94:$M$94,Assumptions!$C$98:$M$98))))</f>
        <v>-7578.60095</v>
      </c>
      <c r="L27" s="54">
        <f t="array" ref="L27">-(IF(L$2=1,Assumptions!$AF28/12,-(SUMIF($D$2:$EE$2,L$2-1,$D27:$EE27)/12)*(1+XLOOKUP(L$2,Assumptions!$C$94:$M$94,Assumptions!$C$98:$M$98))))</f>
        <v>-7578.60095</v>
      </c>
      <c r="M27" s="54">
        <f t="array" ref="M27">-(IF(M$2=1,Assumptions!$AF28/12,-(SUMIF($D$2:$EE$2,M$2-1,$D27:$EE27)/12)*(1+XLOOKUP(M$2,Assumptions!$C$94:$M$94,Assumptions!$C$98:$M$98))))</f>
        <v>-7578.60095</v>
      </c>
      <c r="N27" s="54">
        <f t="array" ref="N27">-(IF(N$2=1,Assumptions!$AF28/12,-(SUMIF($D$2:$EE$2,N$2-1,$D27:$EE27)/12)*(1+XLOOKUP(N$2,Assumptions!$C$94:$M$94,Assumptions!$C$98:$M$98))))</f>
        <v>-7578.60095</v>
      </c>
      <c r="O27" s="54">
        <f t="array" ref="O27">-(IF(O$2=1,Assumptions!$AF28/12,-(SUMIF($D$2:$EE$2,O$2-1,$D27:$EE27)/12)*(1+XLOOKUP(O$2,Assumptions!$C$94:$M$94,Assumptions!$C$98:$M$98))))</f>
        <v>-7578.60095</v>
      </c>
      <c r="P27" s="54">
        <f t="array" ref="P27">-(IF(P$2=1,Assumptions!$AF28/12,-(SUMIF($D$2:$EE$2,P$2-1,$D27:$EE27)/12)*(1+XLOOKUP(P$2,Assumptions!$C$94:$M$94,Assumptions!$C$98:$M$98))))</f>
        <v>-7805.958979</v>
      </c>
      <c r="Q27" s="54">
        <f t="array" ref="Q27">-(IF(Q$2=1,Assumptions!$AF28/12,-(SUMIF($D$2:$EE$2,Q$2-1,$D27:$EE27)/12)*(1+XLOOKUP(Q$2,Assumptions!$C$94:$M$94,Assumptions!$C$98:$M$98))))</f>
        <v>-7805.958979</v>
      </c>
      <c r="R27" s="54">
        <f t="array" ref="R27">-(IF(R$2=1,Assumptions!$AF28/12,-(SUMIF($D$2:$EE$2,R$2-1,$D27:$EE27)/12)*(1+XLOOKUP(R$2,Assumptions!$C$94:$M$94,Assumptions!$C$98:$M$98))))</f>
        <v>-7805.958979</v>
      </c>
      <c r="S27" s="54">
        <f t="array" ref="S27">-(IF(S$2=1,Assumptions!$AF28/12,-(SUMIF($D$2:$EE$2,S$2-1,$D27:$EE27)/12)*(1+XLOOKUP(S$2,Assumptions!$C$94:$M$94,Assumptions!$C$98:$M$98))))</f>
        <v>-7805.958979</v>
      </c>
      <c r="T27" s="54">
        <f t="array" ref="T27">-(IF(T$2=1,Assumptions!$AF28/12,-(SUMIF($D$2:$EE$2,T$2-1,$D27:$EE27)/12)*(1+XLOOKUP(T$2,Assumptions!$C$94:$M$94,Assumptions!$C$98:$M$98))))</f>
        <v>-7805.958979</v>
      </c>
      <c r="U27" s="54">
        <f t="array" ref="U27">-(IF(U$2=1,Assumptions!$AF28/12,-(SUMIF($D$2:$EE$2,U$2-1,$D27:$EE27)/12)*(1+XLOOKUP(U$2,Assumptions!$C$94:$M$94,Assumptions!$C$98:$M$98))))</f>
        <v>-7805.958979</v>
      </c>
      <c r="V27" s="54">
        <f t="array" ref="V27">-(IF(V$2=1,Assumptions!$AF28/12,-(SUMIF($D$2:$EE$2,V$2-1,$D27:$EE27)/12)*(1+XLOOKUP(V$2,Assumptions!$C$94:$M$94,Assumptions!$C$98:$M$98))))</f>
        <v>-7805.958979</v>
      </c>
      <c r="W27" s="54">
        <f t="array" ref="W27">-(IF(W$2=1,Assumptions!$AF28/12,-(SUMIF($D$2:$EE$2,W$2-1,$D27:$EE27)/12)*(1+XLOOKUP(W$2,Assumptions!$C$94:$M$94,Assumptions!$C$98:$M$98))))</f>
        <v>-7805.958979</v>
      </c>
      <c r="X27" s="54">
        <f t="array" ref="X27">-(IF(X$2=1,Assumptions!$AF28/12,-(SUMIF($D$2:$EE$2,X$2-1,$D27:$EE27)/12)*(1+XLOOKUP(X$2,Assumptions!$C$94:$M$94,Assumptions!$C$98:$M$98))))</f>
        <v>-7805.958979</v>
      </c>
      <c r="Y27" s="54">
        <f t="array" ref="Y27">-(IF(Y$2=1,Assumptions!$AF28/12,-(SUMIF($D$2:$EE$2,Y$2-1,$D27:$EE27)/12)*(1+XLOOKUP(Y$2,Assumptions!$C$94:$M$94,Assumptions!$C$98:$M$98))))</f>
        <v>-7805.958979</v>
      </c>
      <c r="Z27" s="54">
        <f t="array" ref="Z27">-(IF(Z$2=1,Assumptions!$AF28/12,-(SUMIF($D$2:$EE$2,Z$2-1,$D27:$EE27)/12)*(1+XLOOKUP(Z$2,Assumptions!$C$94:$M$94,Assumptions!$C$98:$M$98))))</f>
        <v>-7805.958979</v>
      </c>
      <c r="AA27" s="54">
        <f t="array" ref="AA27">-(IF(AA$2=1,Assumptions!$AF28/12,-(SUMIF($D$2:$EE$2,AA$2-1,$D27:$EE27)/12)*(1+XLOOKUP(AA$2,Assumptions!$C$94:$M$94,Assumptions!$C$98:$M$98))))</f>
        <v>-7805.958979</v>
      </c>
      <c r="AB27" s="54">
        <f t="array" ref="AB27">-(IF(AB$2=1,Assumptions!$AF28/12,-(SUMIF($D$2:$EE$2,AB$2-1,$D27:$EE27)/12)*(1+XLOOKUP(AB$2,Assumptions!$C$94:$M$94,Assumptions!$C$98:$M$98))))</f>
        <v>-8040.137748</v>
      </c>
      <c r="AC27" s="54">
        <f t="array" ref="AC27">-(IF(AC$2=1,Assumptions!$AF28/12,-(SUMIF($D$2:$EE$2,AC$2-1,$D27:$EE27)/12)*(1+XLOOKUP(AC$2,Assumptions!$C$94:$M$94,Assumptions!$C$98:$M$98))))</f>
        <v>-8040.137748</v>
      </c>
      <c r="AD27" s="54">
        <f t="array" ref="AD27">-(IF(AD$2=1,Assumptions!$AF28/12,-(SUMIF($D$2:$EE$2,AD$2-1,$D27:$EE27)/12)*(1+XLOOKUP(AD$2,Assumptions!$C$94:$M$94,Assumptions!$C$98:$M$98))))</f>
        <v>-8040.137748</v>
      </c>
      <c r="AE27" s="54">
        <f t="array" ref="AE27">-(IF(AE$2=1,Assumptions!$AF28/12,-(SUMIF($D$2:$EE$2,AE$2-1,$D27:$EE27)/12)*(1+XLOOKUP(AE$2,Assumptions!$C$94:$M$94,Assumptions!$C$98:$M$98))))</f>
        <v>-8040.137748</v>
      </c>
      <c r="AF27" s="54">
        <f t="array" ref="AF27">-(IF(AF$2=1,Assumptions!$AF28/12,-(SUMIF($D$2:$EE$2,AF$2-1,$D27:$EE27)/12)*(1+XLOOKUP(AF$2,Assumptions!$C$94:$M$94,Assumptions!$C$98:$M$98))))</f>
        <v>-8040.137748</v>
      </c>
      <c r="AG27" s="54">
        <f t="array" ref="AG27">-(IF(AG$2=1,Assumptions!$AF28/12,-(SUMIF($D$2:$EE$2,AG$2-1,$D27:$EE27)/12)*(1+XLOOKUP(AG$2,Assumptions!$C$94:$M$94,Assumptions!$C$98:$M$98))))</f>
        <v>-8040.137748</v>
      </c>
      <c r="AH27" s="54">
        <f t="array" ref="AH27">-(IF(AH$2=1,Assumptions!$AF28/12,-(SUMIF($D$2:$EE$2,AH$2-1,$D27:$EE27)/12)*(1+XLOOKUP(AH$2,Assumptions!$C$94:$M$94,Assumptions!$C$98:$M$98))))</f>
        <v>-8040.137748</v>
      </c>
      <c r="AI27" s="54">
        <f t="array" ref="AI27">-(IF(AI$2=1,Assumptions!$AF28/12,-(SUMIF($D$2:$EE$2,AI$2-1,$D27:$EE27)/12)*(1+XLOOKUP(AI$2,Assumptions!$C$94:$M$94,Assumptions!$C$98:$M$98))))</f>
        <v>-8040.137748</v>
      </c>
      <c r="AJ27" s="54">
        <f t="array" ref="AJ27">-(IF(AJ$2=1,Assumptions!$AF28/12,-(SUMIF($D$2:$EE$2,AJ$2-1,$D27:$EE27)/12)*(1+XLOOKUP(AJ$2,Assumptions!$C$94:$M$94,Assumptions!$C$98:$M$98))))</f>
        <v>-8040.137748</v>
      </c>
      <c r="AK27" s="54">
        <f t="array" ref="AK27">-(IF(AK$2=1,Assumptions!$AF28/12,-(SUMIF($D$2:$EE$2,AK$2-1,$D27:$EE27)/12)*(1+XLOOKUP(AK$2,Assumptions!$C$94:$M$94,Assumptions!$C$98:$M$98))))</f>
        <v>-8040.137748</v>
      </c>
      <c r="AL27" s="54">
        <f t="array" ref="AL27">-(IF(AL$2=1,Assumptions!$AF28/12,-(SUMIF($D$2:$EE$2,AL$2-1,$D27:$EE27)/12)*(1+XLOOKUP(AL$2,Assumptions!$C$94:$M$94,Assumptions!$C$98:$M$98))))</f>
        <v>-8040.137748</v>
      </c>
      <c r="AM27" s="54">
        <f t="array" ref="AM27">-(IF(AM$2=1,Assumptions!$AF28/12,-(SUMIF($D$2:$EE$2,AM$2-1,$D27:$EE27)/12)*(1+XLOOKUP(AM$2,Assumptions!$C$94:$M$94,Assumptions!$C$98:$M$98))))</f>
        <v>-8040.137748</v>
      </c>
      <c r="AN27" s="54">
        <f t="array" ref="AN27">-(IF(AN$2=1,Assumptions!$AF28/12,-(SUMIF($D$2:$EE$2,AN$2-1,$D27:$EE27)/12)*(1+XLOOKUP(AN$2,Assumptions!$C$94:$M$94,Assumptions!$C$98:$M$98))))</f>
        <v>-8281.34188</v>
      </c>
      <c r="AO27" s="54">
        <f t="array" ref="AO27">-(IF(AO$2=1,Assumptions!$AF28/12,-(SUMIF($D$2:$EE$2,AO$2-1,$D27:$EE27)/12)*(1+XLOOKUP(AO$2,Assumptions!$C$94:$M$94,Assumptions!$C$98:$M$98))))</f>
        <v>-8281.34188</v>
      </c>
      <c r="AP27" s="54">
        <f t="array" ref="AP27">-(IF(AP$2=1,Assumptions!$AF28/12,-(SUMIF($D$2:$EE$2,AP$2-1,$D27:$EE27)/12)*(1+XLOOKUP(AP$2,Assumptions!$C$94:$M$94,Assumptions!$C$98:$M$98))))</f>
        <v>-8281.34188</v>
      </c>
      <c r="AQ27" s="54">
        <f t="array" ref="AQ27">-(IF(AQ$2=1,Assumptions!$AF28/12,-(SUMIF($D$2:$EE$2,AQ$2-1,$D27:$EE27)/12)*(1+XLOOKUP(AQ$2,Assumptions!$C$94:$M$94,Assumptions!$C$98:$M$98))))</f>
        <v>-8281.34188</v>
      </c>
      <c r="AR27" s="54">
        <f t="array" ref="AR27">-(IF(AR$2=1,Assumptions!$AF28/12,-(SUMIF($D$2:$EE$2,AR$2-1,$D27:$EE27)/12)*(1+XLOOKUP(AR$2,Assumptions!$C$94:$M$94,Assumptions!$C$98:$M$98))))</f>
        <v>-8281.34188</v>
      </c>
      <c r="AS27" s="54">
        <f t="array" ref="AS27">-(IF(AS$2=1,Assumptions!$AF28/12,-(SUMIF($D$2:$EE$2,AS$2-1,$D27:$EE27)/12)*(1+XLOOKUP(AS$2,Assumptions!$C$94:$M$94,Assumptions!$C$98:$M$98))))</f>
        <v>-8281.34188</v>
      </c>
      <c r="AT27" s="54">
        <f t="array" ref="AT27">-(IF(AT$2=1,Assumptions!$AF28/12,-(SUMIF($D$2:$EE$2,AT$2-1,$D27:$EE27)/12)*(1+XLOOKUP(AT$2,Assumptions!$C$94:$M$94,Assumptions!$C$98:$M$98))))</f>
        <v>-8281.34188</v>
      </c>
      <c r="AU27" s="54">
        <f t="array" ref="AU27">-(IF(AU$2=1,Assumptions!$AF28/12,-(SUMIF($D$2:$EE$2,AU$2-1,$D27:$EE27)/12)*(1+XLOOKUP(AU$2,Assumptions!$C$94:$M$94,Assumptions!$C$98:$M$98))))</f>
        <v>-8281.34188</v>
      </c>
      <c r="AV27" s="54">
        <f t="array" ref="AV27">-(IF(AV$2=1,Assumptions!$AF28/12,-(SUMIF($D$2:$EE$2,AV$2-1,$D27:$EE27)/12)*(1+XLOOKUP(AV$2,Assumptions!$C$94:$M$94,Assumptions!$C$98:$M$98))))</f>
        <v>-8281.34188</v>
      </c>
      <c r="AW27" s="54">
        <f t="array" ref="AW27">-(IF(AW$2=1,Assumptions!$AF28/12,-(SUMIF($D$2:$EE$2,AW$2-1,$D27:$EE27)/12)*(1+XLOOKUP(AW$2,Assumptions!$C$94:$M$94,Assumptions!$C$98:$M$98))))</f>
        <v>-8281.34188</v>
      </c>
      <c r="AX27" s="54">
        <f t="array" ref="AX27">-(IF(AX$2=1,Assumptions!$AF28/12,-(SUMIF($D$2:$EE$2,AX$2-1,$D27:$EE27)/12)*(1+XLOOKUP(AX$2,Assumptions!$C$94:$M$94,Assumptions!$C$98:$M$98))))</f>
        <v>-8281.34188</v>
      </c>
      <c r="AY27" s="54">
        <f t="array" ref="AY27">-(IF(AY$2=1,Assumptions!$AF28/12,-(SUMIF($D$2:$EE$2,AY$2-1,$D27:$EE27)/12)*(1+XLOOKUP(AY$2,Assumptions!$C$94:$M$94,Assumptions!$C$98:$M$98))))</f>
        <v>-8281.34188</v>
      </c>
      <c r="AZ27" s="54">
        <f t="array" ref="AZ27">-(IF(AZ$2=1,Assumptions!$AF28/12,-(SUMIF($D$2:$EE$2,AZ$2-1,$D27:$EE27)/12)*(1+XLOOKUP(AZ$2,Assumptions!$C$94:$M$94,Assumptions!$C$98:$M$98))))</f>
        <v>-8529.782137</v>
      </c>
      <c r="BA27" s="54">
        <f t="array" ref="BA27">-(IF(BA$2=1,Assumptions!$AF28/12,-(SUMIF($D$2:$EE$2,BA$2-1,$D27:$EE27)/12)*(1+XLOOKUP(BA$2,Assumptions!$C$94:$M$94,Assumptions!$C$98:$M$98))))</f>
        <v>-8529.782137</v>
      </c>
      <c r="BB27" s="54">
        <f t="array" ref="BB27">-(IF(BB$2=1,Assumptions!$AF28/12,-(SUMIF($D$2:$EE$2,BB$2-1,$D27:$EE27)/12)*(1+XLOOKUP(BB$2,Assumptions!$C$94:$M$94,Assumptions!$C$98:$M$98))))</f>
        <v>-8529.782137</v>
      </c>
      <c r="BC27" s="54">
        <f t="array" ref="BC27">-(IF(BC$2=1,Assumptions!$AF28/12,-(SUMIF($D$2:$EE$2,BC$2-1,$D27:$EE27)/12)*(1+XLOOKUP(BC$2,Assumptions!$C$94:$M$94,Assumptions!$C$98:$M$98))))</f>
        <v>-8529.782137</v>
      </c>
      <c r="BD27" s="54">
        <f t="array" ref="BD27">-(IF(BD$2=1,Assumptions!$AF28/12,-(SUMIF($D$2:$EE$2,BD$2-1,$D27:$EE27)/12)*(1+XLOOKUP(BD$2,Assumptions!$C$94:$M$94,Assumptions!$C$98:$M$98))))</f>
        <v>-8529.782137</v>
      </c>
      <c r="BE27" s="54">
        <f t="array" ref="BE27">-(IF(BE$2=1,Assumptions!$AF28/12,-(SUMIF($D$2:$EE$2,BE$2-1,$D27:$EE27)/12)*(1+XLOOKUP(BE$2,Assumptions!$C$94:$M$94,Assumptions!$C$98:$M$98))))</f>
        <v>-8529.782137</v>
      </c>
      <c r="BF27" s="54">
        <f t="array" ref="BF27">-(IF(BF$2=1,Assumptions!$AF28/12,-(SUMIF($D$2:$EE$2,BF$2-1,$D27:$EE27)/12)*(1+XLOOKUP(BF$2,Assumptions!$C$94:$M$94,Assumptions!$C$98:$M$98))))</f>
        <v>-8529.782137</v>
      </c>
      <c r="BG27" s="54">
        <f t="array" ref="BG27">-(IF(BG$2=1,Assumptions!$AF28/12,-(SUMIF($D$2:$EE$2,BG$2-1,$D27:$EE27)/12)*(1+XLOOKUP(BG$2,Assumptions!$C$94:$M$94,Assumptions!$C$98:$M$98))))</f>
        <v>-8529.782137</v>
      </c>
      <c r="BH27" s="54">
        <f t="array" ref="BH27">-(IF(BH$2=1,Assumptions!$AF28/12,-(SUMIF($D$2:$EE$2,BH$2-1,$D27:$EE27)/12)*(1+XLOOKUP(BH$2,Assumptions!$C$94:$M$94,Assumptions!$C$98:$M$98))))</f>
        <v>-8529.782137</v>
      </c>
      <c r="BI27" s="54">
        <f t="array" ref="BI27">-(IF(BI$2=1,Assumptions!$AF28/12,-(SUMIF($D$2:$EE$2,BI$2-1,$D27:$EE27)/12)*(1+XLOOKUP(BI$2,Assumptions!$C$94:$M$94,Assumptions!$C$98:$M$98))))</f>
        <v>-8529.782137</v>
      </c>
      <c r="BJ27" s="54">
        <f t="array" ref="BJ27">-(IF(BJ$2=1,Assumptions!$AF28/12,-(SUMIF($D$2:$EE$2,BJ$2-1,$D27:$EE27)/12)*(1+XLOOKUP(BJ$2,Assumptions!$C$94:$M$94,Assumptions!$C$98:$M$98))))</f>
        <v>-8529.782137</v>
      </c>
      <c r="BK27" s="54">
        <f t="array" ref="BK27">-(IF(BK$2=1,Assumptions!$AF28/12,-(SUMIF($D$2:$EE$2,BK$2-1,$D27:$EE27)/12)*(1+XLOOKUP(BK$2,Assumptions!$C$94:$M$94,Assumptions!$C$98:$M$98))))</f>
        <v>-8529.782137</v>
      </c>
      <c r="BL27" s="54">
        <f t="array" ref="BL27">-(IF(BL$2=1,Assumptions!$AF28/12,-(SUMIF($D$2:$EE$2,BL$2-1,$D27:$EE27)/12)*(1+XLOOKUP(BL$2,Assumptions!$C$94:$M$94,Assumptions!$C$98:$M$98))))</f>
        <v>-8785.675601</v>
      </c>
      <c r="BM27" s="54">
        <f t="array" ref="BM27">-(IF(BM$2=1,Assumptions!$AF28/12,-(SUMIF($D$2:$EE$2,BM$2-1,$D27:$EE27)/12)*(1+XLOOKUP(BM$2,Assumptions!$C$94:$M$94,Assumptions!$C$98:$M$98))))</f>
        <v>-8785.675601</v>
      </c>
      <c r="BN27" s="54">
        <f t="array" ref="BN27">-(IF(BN$2=1,Assumptions!$AF28/12,-(SUMIF($D$2:$EE$2,BN$2-1,$D27:$EE27)/12)*(1+XLOOKUP(BN$2,Assumptions!$C$94:$M$94,Assumptions!$C$98:$M$98))))</f>
        <v>-8785.675601</v>
      </c>
      <c r="BO27" s="54">
        <f t="array" ref="BO27">-(IF(BO$2=1,Assumptions!$AF28/12,-(SUMIF($D$2:$EE$2,BO$2-1,$D27:$EE27)/12)*(1+XLOOKUP(BO$2,Assumptions!$C$94:$M$94,Assumptions!$C$98:$M$98))))</f>
        <v>-8785.675601</v>
      </c>
      <c r="BP27" s="54">
        <f t="array" ref="BP27">-(IF(BP$2=1,Assumptions!$AF28/12,-(SUMIF($D$2:$EE$2,BP$2-1,$D27:$EE27)/12)*(1+XLOOKUP(BP$2,Assumptions!$C$94:$M$94,Assumptions!$C$98:$M$98))))</f>
        <v>-8785.675601</v>
      </c>
      <c r="BQ27" s="54">
        <f t="array" ref="BQ27">-(IF(BQ$2=1,Assumptions!$AF28/12,-(SUMIF($D$2:$EE$2,BQ$2-1,$D27:$EE27)/12)*(1+XLOOKUP(BQ$2,Assumptions!$C$94:$M$94,Assumptions!$C$98:$M$98))))</f>
        <v>-8785.675601</v>
      </c>
      <c r="BR27" s="54">
        <f t="array" ref="BR27">-(IF(BR$2=1,Assumptions!$AF28/12,-(SUMIF($D$2:$EE$2,BR$2-1,$D27:$EE27)/12)*(1+XLOOKUP(BR$2,Assumptions!$C$94:$M$94,Assumptions!$C$98:$M$98))))</f>
        <v>-8785.675601</v>
      </c>
      <c r="BS27" s="54">
        <f t="array" ref="BS27">-(IF(BS$2=1,Assumptions!$AF28/12,-(SUMIF($D$2:$EE$2,BS$2-1,$D27:$EE27)/12)*(1+XLOOKUP(BS$2,Assumptions!$C$94:$M$94,Assumptions!$C$98:$M$98))))</f>
        <v>-8785.675601</v>
      </c>
      <c r="BT27" s="54">
        <f t="array" ref="BT27">-(IF(BT$2=1,Assumptions!$AF28/12,-(SUMIF($D$2:$EE$2,BT$2-1,$D27:$EE27)/12)*(1+XLOOKUP(BT$2,Assumptions!$C$94:$M$94,Assumptions!$C$98:$M$98))))</f>
        <v>-8785.675601</v>
      </c>
      <c r="BU27" s="54">
        <f t="array" ref="BU27">-(IF(BU$2=1,Assumptions!$AF28/12,-(SUMIF($D$2:$EE$2,BU$2-1,$D27:$EE27)/12)*(1+XLOOKUP(BU$2,Assumptions!$C$94:$M$94,Assumptions!$C$98:$M$98))))</f>
        <v>-8785.675601</v>
      </c>
      <c r="BV27" s="54">
        <f t="array" ref="BV27">-(IF(BV$2=1,Assumptions!$AF28/12,-(SUMIF($D$2:$EE$2,BV$2-1,$D27:$EE27)/12)*(1+XLOOKUP(BV$2,Assumptions!$C$94:$M$94,Assumptions!$C$98:$M$98))))</f>
        <v>-8785.675601</v>
      </c>
      <c r="BW27" s="54">
        <f t="array" ref="BW27">-(IF(BW$2=1,Assumptions!$AF28/12,-(SUMIF($D$2:$EE$2,BW$2-1,$D27:$EE27)/12)*(1+XLOOKUP(BW$2,Assumptions!$C$94:$M$94,Assumptions!$C$98:$M$98))))</f>
        <v>-8785.675601</v>
      </c>
      <c r="BX27" s="54">
        <f t="array" ref="BX27">-(IF(BX$2=1,Assumptions!$AF28/12,-(SUMIF($D$2:$EE$2,BX$2-1,$D27:$EE27)/12)*(1+XLOOKUP(BX$2,Assumptions!$C$94:$M$94,Assumptions!$C$98:$M$98))))</f>
        <v>-9049.245869</v>
      </c>
      <c r="BY27" s="54">
        <f t="array" ref="BY27">-(IF(BY$2=1,Assumptions!$AF28/12,-(SUMIF($D$2:$EE$2,BY$2-1,$D27:$EE27)/12)*(1+XLOOKUP(BY$2,Assumptions!$C$94:$M$94,Assumptions!$C$98:$M$98))))</f>
        <v>-9049.245869</v>
      </c>
      <c r="BZ27" s="54">
        <f t="array" ref="BZ27">-(IF(BZ$2=1,Assumptions!$AF28/12,-(SUMIF($D$2:$EE$2,BZ$2-1,$D27:$EE27)/12)*(1+XLOOKUP(BZ$2,Assumptions!$C$94:$M$94,Assumptions!$C$98:$M$98))))</f>
        <v>-9049.245869</v>
      </c>
      <c r="CA27" s="54">
        <f t="array" ref="CA27">-(IF(CA$2=1,Assumptions!$AF28/12,-(SUMIF($D$2:$EE$2,CA$2-1,$D27:$EE27)/12)*(1+XLOOKUP(CA$2,Assumptions!$C$94:$M$94,Assumptions!$C$98:$M$98))))</f>
        <v>-9049.245869</v>
      </c>
      <c r="CB27" s="54">
        <f t="array" ref="CB27">-(IF(CB$2=1,Assumptions!$AF28/12,-(SUMIF($D$2:$EE$2,CB$2-1,$D27:$EE27)/12)*(1+XLOOKUP(CB$2,Assumptions!$C$94:$M$94,Assumptions!$C$98:$M$98))))</f>
        <v>-9049.245869</v>
      </c>
      <c r="CC27" s="54">
        <f t="array" ref="CC27">-(IF(CC$2=1,Assumptions!$AF28/12,-(SUMIF($D$2:$EE$2,CC$2-1,$D27:$EE27)/12)*(1+XLOOKUP(CC$2,Assumptions!$C$94:$M$94,Assumptions!$C$98:$M$98))))</f>
        <v>-9049.245869</v>
      </c>
      <c r="CD27" s="54">
        <f t="array" ref="CD27">-(IF(CD$2=1,Assumptions!$AF28/12,-(SUMIF($D$2:$EE$2,CD$2-1,$D27:$EE27)/12)*(1+XLOOKUP(CD$2,Assumptions!$C$94:$M$94,Assumptions!$C$98:$M$98))))</f>
        <v>-9049.245869</v>
      </c>
      <c r="CE27" s="54">
        <f t="array" ref="CE27">-(IF(CE$2=1,Assumptions!$AF28/12,-(SUMIF($D$2:$EE$2,CE$2-1,$D27:$EE27)/12)*(1+XLOOKUP(CE$2,Assumptions!$C$94:$M$94,Assumptions!$C$98:$M$98))))</f>
        <v>-9049.245869</v>
      </c>
      <c r="CF27" s="54">
        <f t="array" ref="CF27">-(IF(CF$2=1,Assumptions!$AF28/12,-(SUMIF($D$2:$EE$2,CF$2-1,$D27:$EE27)/12)*(1+XLOOKUP(CF$2,Assumptions!$C$94:$M$94,Assumptions!$C$98:$M$98))))</f>
        <v>-9049.245869</v>
      </c>
      <c r="CG27" s="54">
        <f t="array" ref="CG27">-(IF(CG$2=1,Assumptions!$AF28/12,-(SUMIF($D$2:$EE$2,CG$2-1,$D27:$EE27)/12)*(1+XLOOKUP(CG$2,Assumptions!$C$94:$M$94,Assumptions!$C$98:$M$98))))</f>
        <v>-9049.245869</v>
      </c>
      <c r="CH27" s="54">
        <f t="array" ref="CH27">-(IF(CH$2=1,Assumptions!$AF28/12,-(SUMIF($D$2:$EE$2,CH$2-1,$D27:$EE27)/12)*(1+XLOOKUP(CH$2,Assumptions!$C$94:$M$94,Assumptions!$C$98:$M$98))))</f>
        <v>-9049.245869</v>
      </c>
      <c r="CI27" s="54">
        <f t="array" ref="CI27">-(IF(CI$2=1,Assumptions!$AF28/12,-(SUMIF($D$2:$EE$2,CI$2-1,$D27:$EE27)/12)*(1+XLOOKUP(CI$2,Assumptions!$C$94:$M$94,Assumptions!$C$98:$M$98))))</f>
        <v>-9049.245869</v>
      </c>
      <c r="CJ27" s="54">
        <f t="array" ref="CJ27">-(IF(CJ$2=1,Assumptions!$AF28/12,-(SUMIF($D$2:$EE$2,CJ$2-1,$D27:$EE27)/12)*(1+XLOOKUP(CJ$2,Assumptions!$C$94:$M$94,Assumptions!$C$98:$M$98))))</f>
        <v>-9320.723245</v>
      </c>
      <c r="CK27" s="54">
        <f t="array" ref="CK27">-(IF(CK$2=1,Assumptions!$AF28/12,-(SUMIF($D$2:$EE$2,CK$2-1,$D27:$EE27)/12)*(1+XLOOKUP(CK$2,Assumptions!$C$94:$M$94,Assumptions!$C$98:$M$98))))</f>
        <v>-9320.723245</v>
      </c>
      <c r="CL27" s="54">
        <f t="array" ref="CL27">-(IF(CL$2=1,Assumptions!$AF28/12,-(SUMIF($D$2:$EE$2,CL$2-1,$D27:$EE27)/12)*(1+XLOOKUP(CL$2,Assumptions!$C$94:$M$94,Assumptions!$C$98:$M$98))))</f>
        <v>-9320.723245</v>
      </c>
      <c r="CM27" s="54">
        <f t="array" ref="CM27">-(IF(CM$2=1,Assumptions!$AF28/12,-(SUMIF($D$2:$EE$2,CM$2-1,$D27:$EE27)/12)*(1+XLOOKUP(CM$2,Assumptions!$C$94:$M$94,Assumptions!$C$98:$M$98))))</f>
        <v>-9320.723245</v>
      </c>
      <c r="CN27" s="54">
        <f t="array" ref="CN27">-(IF(CN$2=1,Assumptions!$AF28/12,-(SUMIF($D$2:$EE$2,CN$2-1,$D27:$EE27)/12)*(1+XLOOKUP(CN$2,Assumptions!$C$94:$M$94,Assumptions!$C$98:$M$98))))</f>
        <v>-9320.723245</v>
      </c>
      <c r="CO27" s="54">
        <f t="array" ref="CO27">-(IF(CO$2=1,Assumptions!$AF28/12,-(SUMIF($D$2:$EE$2,CO$2-1,$D27:$EE27)/12)*(1+XLOOKUP(CO$2,Assumptions!$C$94:$M$94,Assumptions!$C$98:$M$98))))</f>
        <v>-9320.723245</v>
      </c>
      <c r="CP27" s="54">
        <f t="array" ref="CP27">-(IF(CP$2=1,Assumptions!$AF28/12,-(SUMIF($D$2:$EE$2,CP$2-1,$D27:$EE27)/12)*(1+XLOOKUP(CP$2,Assumptions!$C$94:$M$94,Assumptions!$C$98:$M$98))))</f>
        <v>-9320.723245</v>
      </c>
      <c r="CQ27" s="54">
        <f t="array" ref="CQ27">-(IF(CQ$2=1,Assumptions!$AF28/12,-(SUMIF($D$2:$EE$2,CQ$2-1,$D27:$EE27)/12)*(1+XLOOKUP(CQ$2,Assumptions!$C$94:$M$94,Assumptions!$C$98:$M$98))))</f>
        <v>-9320.723245</v>
      </c>
      <c r="CR27" s="54">
        <f t="array" ref="CR27">-(IF(CR$2=1,Assumptions!$AF28/12,-(SUMIF($D$2:$EE$2,CR$2-1,$D27:$EE27)/12)*(1+XLOOKUP(CR$2,Assumptions!$C$94:$M$94,Assumptions!$C$98:$M$98))))</f>
        <v>-9320.723245</v>
      </c>
      <c r="CS27" s="54">
        <f t="array" ref="CS27">-(IF(CS$2=1,Assumptions!$AF28/12,-(SUMIF($D$2:$EE$2,CS$2-1,$D27:$EE27)/12)*(1+XLOOKUP(CS$2,Assumptions!$C$94:$M$94,Assumptions!$C$98:$M$98))))</f>
        <v>-9320.723245</v>
      </c>
      <c r="CT27" s="54">
        <f t="array" ref="CT27">-(IF(CT$2=1,Assumptions!$AF28/12,-(SUMIF($D$2:$EE$2,CT$2-1,$D27:$EE27)/12)*(1+XLOOKUP(CT$2,Assumptions!$C$94:$M$94,Assumptions!$C$98:$M$98))))</f>
        <v>-9320.723245</v>
      </c>
      <c r="CU27" s="54">
        <f t="array" ref="CU27">-(IF(CU$2=1,Assumptions!$AF28/12,-(SUMIF($D$2:$EE$2,CU$2-1,$D27:$EE27)/12)*(1+XLOOKUP(CU$2,Assumptions!$C$94:$M$94,Assumptions!$C$98:$M$98))))</f>
        <v>-9320.723245</v>
      </c>
      <c r="CV27" s="54">
        <f t="array" ref="CV27">-(IF(CV$2=1,Assumptions!$AF28/12,-(SUMIF($D$2:$EE$2,CV$2-1,$D27:$EE27)/12)*(1+XLOOKUP(CV$2,Assumptions!$C$94:$M$94,Assumptions!$C$98:$M$98))))</f>
        <v>-9600.344942</v>
      </c>
      <c r="CW27" s="54">
        <f t="array" ref="CW27">-(IF(CW$2=1,Assumptions!$AF28/12,-(SUMIF($D$2:$EE$2,CW$2-1,$D27:$EE27)/12)*(1+XLOOKUP(CW$2,Assumptions!$C$94:$M$94,Assumptions!$C$98:$M$98))))</f>
        <v>-9600.344942</v>
      </c>
      <c r="CX27" s="54">
        <f t="array" ref="CX27">-(IF(CX$2=1,Assumptions!$AF28/12,-(SUMIF($D$2:$EE$2,CX$2-1,$D27:$EE27)/12)*(1+XLOOKUP(CX$2,Assumptions!$C$94:$M$94,Assumptions!$C$98:$M$98))))</f>
        <v>-9600.344942</v>
      </c>
      <c r="CY27" s="54">
        <f t="array" ref="CY27">-(IF(CY$2=1,Assumptions!$AF28/12,-(SUMIF($D$2:$EE$2,CY$2-1,$D27:$EE27)/12)*(1+XLOOKUP(CY$2,Assumptions!$C$94:$M$94,Assumptions!$C$98:$M$98))))</f>
        <v>-9600.344942</v>
      </c>
      <c r="CZ27" s="54">
        <f t="array" ref="CZ27">-(IF(CZ$2=1,Assumptions!$AF28/12,-(SUMIF($D$2:$EE$2,CZ$2-1,$D27:$EE27)/12)*(1+XLOOKUP(CZ$2,Assumptions!$C$94:$M$94,Assumptions!$C$98:$M$98))))</f>
        <v>-9600.344942</v>
      </c>
      <c r="DA27" s="54">
        <f t="array" ref="DA27">-(IF(DA$2=1,Assumptions!$AF28/12,-(SUMIF($D$2:$EE$2,DA$2-1,$D27:$EE27)/12)*(1+XLOOKUP(DA$2,Assumptions!$C$94:$M$94,Assumptions!$C$98:$M$98))))</f>
        <v>-9600.344942</v>
      </c>
      <c r="DB27" s="54">
        <f t="array" ref="DB27">-(IF(DB$2=1,Assumptions!$AF28/12,-(SUMIF($D$2:$EE$2,DB$2-1,$D27:$EE27)/12)*(1+XLOOKUP(DB$2,Assumptions!$C$94:$M$94,Assumptions!$C$98:$M$98))))</f>
        <v>-9600.344942</v>
      </c>
      <c r="DC27" s="54">
        <f t="array" ref="DC27">-(IF(DC$2=1,Assumptions!$AF28/12,-(SUMIF($D$2:$EE$2,DC$2-1,$D27:$EE27)/12)*(1+XLOOKUP(DC$2,Assumptions!$C$94:$M$94,Assumptions!$C$98:$M$98))))</f>
        <v>-9600.344942</v>
      </c>
      <c r="DD27" s="54">
        <f t="array" ref="DD27">-(IF(DD$2=1,Assumptions!$AF28/12,-(SUMIF($D$2:$EE$2,DD$2-1,$D27:$EE27)/12)*(1+XLOOKUP(DD$2,Assumptions!$C$94:$M$94,Assumptions!$C$98:$M$98))))</f>
        <v>-9600.344942</v>
      </c>
      <c r="DE27" s="54">
        <f t="array" ref="DE27">-(IF(DE$2=1,Assumptions!$AF28/12,-(SUMIF($D$2:$EE$2,DE$2-1,$D27:$EE27)/12)*(1+XLOOKUP(DE$2,Assumptions!$C$94:$M$94,Assumptions!$C$98:$M$98))))</f>
        <v>-9600.344942</v>
      </c>
      <c r="DF27" s="54">
        <f t="array" ref="DF27">-(IF(DF$2=1,Assumptions!$AF28/12,-(SUMIF($D$2:$EE$2,DF$2-1,$D27:$EE27)/12)*(1+XLOOKUP(DF$2,Assumptions!$C$94:$M$94,Assumptions!$C$98:$M$98))))</f>
        <v>-9600.344942</v>
      </c>
      <c r="DG27" s="54">
        <f t="array" ref="DG27">-(IF(DG$2=1,Assumptions!$AF28/12,-(SUMIF($D$2:$EE$2,DG$2-1,$D27:$EE27)/12)*(1+XLOOKUP(DG$2,Assumptions!$C$94:$M$94,Assumptions!$C$98:$M$98))))</f>
        <v>-9600.344942</v>
      </c>
      <c r="DH27" s="54">
        <f t="array" ref="DH27">-(IF(DH$2=1,Assumptions!$AF28/12,-(SUMIF($D$2:$EE$2,DH$2-1,$D27:$EE27)/12)*(1+XLOOKUP(DH$2,Assumptions!$C$94:$M$94,Assumptions!$C$98:$M$98))))</f>
        <v>-9888.355291</v>
      </c>
      <c r="DI27" s="54">
        <f t="array" ref="DI27">-(IF(DI$2=1,Assumptions!$AF28/12,-(SUMIF($D$2:$EE$2,DI$2-1,$D27:$EE27)/12)*(1+XLOOKUP(DI$2,Assumptions!$C$94:$M$94,Assumptions!$C$98:$M$98))))</f>
        <v>-9888.355291</v>
      </c>
      <c r="DJ27" s="54">
        <f t="array" ref="DJ27">-(IF(DJ$2=1,Assumptions!$AF28/12,-(SUMIF($D$2:$EE$2,DJ$2-1,$D27:$EE27)/12)*(1+XLOOKUP(DJ$2,Assumptions!$C$94:$M$94,Assumptions!$C$98:$M$98))))</f>
        <v>-9888.355291</v>
      </c>
      <c r="DK27" s="54">
        <f t="array" ref="DK27">-(IF(DK$2=1,Assumptions!$AF28/12,-(SUMIF($D$2:$EE$2,DK$2-1,$D27:$EE27)/12)*(1+XLOOKUP(DK$2,Assumptions!$C$94:$M$94,Assumptions!$C$98:$M$98))))</f>
        <v>-9888.355291</v>
      </c>
      <c r="DL27" s="54">
        <f t="array" ref="DL27">-(IF(DL$2=1,Assumptions!$AF28/12,-(SUMIF($D$2:$EE$2,DL$2-1,$D27:$EE27)/12)*(1+XLOOKUP(DL$2,Assumptions!$C$94:$M$94,Assumptions!$C$98:$M$98))))</f>
        <v>-9888.355291</v>
      </c>
      <c r="DM27" s="54">
        <f t="array" ref="DM27">-(IF(DM$2=1,Assumptions!$AF28/12,-(SUMIF($D$2:$EE$2,DM$2-1,$D27:$EE27)/12)*(1+XLOOKUP(DM$2,Assumptions!$C$94:$M$94,Assumptions!$C$98:$M$98))))</f>
        <v>-9888.355291</v>
      </c>
      <c r="DN27" s="54">
        <f t="array" ref="DN27">-(IF(DN$2=1,Assumptions!$AF28/12,-(SUMIF($D$2:$EE$2,DN$2-1,$D27:$EE27)/12)*(1+XLOOKUP(DN$2,Assumptions!$C$94:$M$94,Assumptions!$C$98:$M$98))))</f>
        <v>-9888.355291</v>
      </c>
      <c r="DO27" s="54">
        <f t="array" ref="DO27">-(IF(DO$2=1,Assumptions!$AF28/12,-(SUMIF($D$2:$EE$2,DO$2-1,$D27:$EE27)/12)*(1+XLOOKUP(DO$2,Assumptions!$C$94:$M$94,Assumptions!$C$98:$M$98))))</f>
        <v>-9888.355291</v>
      </c>
      <c r="DP27" s="54">
        <f t="array" ref="DP27">-(IF(DP$2=1,Assumptions!$AF28/12,-(SUMIF($D$2:$EE$2,DP$2-1,$D27:$EE27)/12)*(1+XLOOKUP(DP$2,Assumptions!$C$94:$M$94,Assumptions!$C$98:$M$98))))</f>
        <v>-9888.355291</v>
      </c>
      <c r="DQ27" s="54">
        <f t="array" ref="DQ27">-(IF(DQ$2=1,Assumptions!$AF28/12,-(SUMIF($D$2:$EE$2,DQ$2-1,$D27:$EE27)/12)*(1+XLOOKUP(DQ$2,Assumptions!$C$94:$M$94,Assumptions!$C$98:$M$98))))</f>
        <v>-9888.355291</v>
      </c>
      <c r="DR27" s="54">
        <f t="array" ref="DR27">-(IF(DR$2=1,Assumptions!$AF28/12,-(SUMIF($D$2:$EE$2,DR$2-1,$D27:$EE27)/12)*(1+XLOOKUP(DR$2,Assumptions!$C$94:$M$94,Assumptions!$C$98:$M$98))))</f>
        <v>-9888.355291</v>
      </c>
      <c r="DS27" s="54">
        <f t="array" ref="DS27">-(IF(DS$2=1,Assumptions!$AF28/12,-(SUMIF($D$2:$EE$2,DS$2-1,$D27:$EE27)/12)*(1+XLOOKUP(DS$2,Assumptions!$C$94:$M$94,Assumptions!$C$98:$M$98))))</f>
        <v>-9888.355291</v>
      </c>
      <c r="DT27" s="54">
        <f t="array" ref="DT27">-(IF(DT$2=1,Assumptions!$AF28/12,-(SUMIF($D$2:$EE$2,DT$2-1,$D27:$EE27)/12)*(1+XLOOKUP(DT$2,Assumptions!$C$94:$M$94,Assumptions!$C$98:$M$98))))</f>
        <v>-10185.00595</v>
      </c>
      <c r="DU27" s="54">
        <f t="array" ref="DU27">-(IF(DU$2=1,Assumptions!$AF28/12,-(SUMIF($D$2:$EE$2,DU$2-1,$D27:$EE27)/12)*(1+XLOOKUP(DU$2,Assumptions!$C$94:$M$94,Assumptions!$C$98:$M$98))))</f>
        <v>-10185.00595</v>
      </c>
      <c r="DV27" s="54">
        <f t="array" ref="DV27">-(IF(DV$2=1,Assumptions!$AF28/12,-(SUMIF($D$2:$EE$2,DV$2-1,$D27:$EE27)/12)*(1+XLOOKUP(DV$2,Assumptions!$C$94:$M$94,Assumptions!$C$98:$M$98))))</f>
        <v>-10185.00595</v>
      </c>
      <c r="DW27" s="54">
        <f t="array" ref="DW27">-(IF(DW$2=1,Assumptions!$AF28/12,-(SUMIF($D$2:$EE$2,DW$2-1,$D27:$EE27)/12)*(1+XLOOKUP(DW$2,Assumptions!$C$94:$M$94,Assumptions!$C$98:$M$98))))</f>
        <v>-10185.00595</v>
      </c>
      <c r="DX27" s="54">
        <f t="array" ref="DX27">-(IF(DX$2=1,Assumptions!$AF28/12,-(SUMIF($D$2:$EE$2,DX$2-1,$D27:$EE27)/12)*(1+XLOOKUP(DX$2,Assumptions!$C$94:$M$94,Assumptions!$C$98:$M$98))))</f>
        <v>-10185.00595</v>
      </c>
      <c r="DY27" s="54">
        <f t="array" ref="DY27">-(IF(DY$2=1,Assumptions!$AF28/12,-(SUMIF($D$2:$EE$2,DY$2-1,$D27:$EE27)/12)*(1+XLOOKUP(DY$2,Assumptions!$C$94:$M$94,Assumptions!$C$98:$M$98))))</f>
        <v>-10185.00595</v>
      </c>
      <c r="DZ27" s="54">
        <f t="array" ref="DZ27">-(IF(DZ$2=1,Assumptions!$AF28/12,-(SUMIF($D$2:$EE$2,DZ$2-1,$D27:$EE27)/12)*(1+XLOOKUP(DZ$2,Assumptions!$C$94:$M$94,Assumptions!$C$98:$M$98))))</f>
        <v>-10185.00595</v>
      </c>
      <c r="EA27" s="54">
        <f t="array" ref="EA27">-(IF(EA$2=1,Assumptions!$AF28/12,-(SUMIF($D$2:$EE$2,EA$2-1,$D27:$EE27)/12)*(1+XLOOKUP(EA$2,Assumptions!$C$94:$M$94,Assumptions!$C$98:$M$98))))</f>
        <v>-10185.00595</v>
      </c>
      <c r="EB27" s="54">
        <f t="array" ref="EB27">-(IF(EB$2=1,Assumptions!$AF28/12,-(SUMIF($D$2:$EE$2,EB$2-1,$D27:$EE27)/12)*(1+XLOOKUP(EB$2,Assumptions!$C$94:$M$94,Assumptions!$C$98:$M$98))))</f>
        <v>-10185.00595</v>
      </c>
      <c r="EC27" s="54">
        <f t="array" ref="EC27">-(IF(EC$2=1,Assumptions!$AF28/12,-(SUMIF($D$2:$EE$2,EC$2-1,$D27:$EE27)/12)*(1+XLOOKUP(EC$2,Assumptions!$C$94:$M$94,Assumptions!$C$98:$M$98))))</f>
        <v>-10185.00595</v>
      </c>
      <c r="ED27" s="54">
        <f t="array" ref="ED27">-(IF(ED$2=1,Assumptions!$AF28/12,-(SUMIF($D$2:$EE$2,ED$2-1,$D27:$EE27)/12)*(1+XLOOKUP(ED$2,Assumptions!$C$94:$M$94,Assumptions!$C$98:$M$98))))</f>
        <v>-10185.00595</v>
      </c>
      <c r="EE27" s="54">
        <f t="array" ref="EE27">-(IF(EE$2=1,Assumptions!$AF28/12,-(SUMIF($D$2:$EE$2,EE$2-1,$D27:$EE27)/12)*(1+XLOOKUP(EE$2,Assumptions!$C$94:$M$94,Assumptions!$C$98:$M$98))))</f>
        <v>-10185.00595</v>
      </c>
    </row>
    <row r="28" ht="15.75" customHeight="1">
      <c r="A28" s="1"/>
      <c r="B28" s="1"/>
      <c r="C28" s="1" t="str">
        <f>Assumptions!J29</f>
        <v>Marketing</v>
      </c>
      <c r="D28" s="54">
        <f t="array" ref="D28">-(IF(D$2=1,Assumptions!$AF29/12,-(SUMIF($D$2:$EE$2,D$2-1,$D28:$EE28)/12)*(1+XLOOKUP(D$2,Assumptions!$C$94:$M$94,Assumptions!$C$98:$M$98))))</f>
        <v>-1961.213558</v>
      </c>
      <c r="E28" s="54">
        <f t="array" ref="E28">-(IF(E$2=1,Assumptions!$AF29/12,-(SUMIF($D$2:$EE$2,E$2-1,$D28:$EE28)/12)*(1+XLOOKUP(E$2,Assumptions!$C$94:$M$94,Assumptions!$C$98:$M$98))))</f>
        <v>-1961.213558</v>
      </c>
      <c r="F28" s="54">
        <f t="array" ref="F28">-(IF(F$2=1,Assumptions!$AF29/12,-(SUMIF($D$2:$EE$2,F$2-1,$D28:$EE28)/12)*(1+XLOOKUP(F$2,Assumptions!$C$94:$M$94,Assumptions!$C$98:$M$98))))</f>
        <v>-1961.213558</v>
      </c>
      <c r="G28" s="54">
        <f t="array" ref="G28">-(IF(G$2=1,Assumptions!$AF29/12,-(SUMIF($D$2:$EE$2,G$2-1,$D28:$EE28)/12)*(1+XLOOKUP(G$2,Assumptions!$C$94:$M$94,Assumptions!$C$98:$M$98))))</f>
        <v>-1961.213558</v>
      </c>
      <c r="H28" s="54">
        <f t="array" ref="H28">-(IF(H$2=1,Assumptions!$AF29/12,-(SUMIF($D$2:$EE$2,H$2-1,$D28:$EE28)/12)*(1+XLOOKUP(H$2,Assumptions!$C$94:$M$94,Assumptions!$C$98:$M$98))))</f>
        <v>-1961.213558</v>
      </c>
      <c r="I28" s="54">
        <f t="array" ref="I28">-(IF(I$2=1,Assumptions!$AF29/12,-(SUMIF($D$2:$EE$2,I$2-1,$D28:$EE28)/12)*(1+XLOOKUP(I$2,Assumptions!$C$94:$M$94,Assumptions!$C$98:$M$98))))</f>
        <v>-1961.213558</v>
      </c>
      <c r="J28" s="54">
        <f t="array" ref="J28">-(IF(J$2=1,Assumptions!$AF29/12,-(SUMIF($D$2:$EE$2,J$2-1,$D28:$EE28)/12)*(1+XLOOKUP(J$2,Assumptions!$C$94:$M$94,Assumptions!$C$98:$M$98))))</f>
        <v>-1961.213558</v>
      </c>
      <c r="K28" s="54">
        <f t="array" ref="K28">-(IF(K$2=1,Assumptions!$AF29/12,-(SUMIF($D$2:$EE$2,K$2-1,$D28:$EE28)/12)*(1+XLOOKUP(K$2,Assumptions!$C$94:$M$94,Assumptions!$C$98:$M$98))))</f>
        <v>-1961.213558</v>
      </c>
      <c r="L28" s="54">
        <f t="array" ref="L28">-(IF(L$2=1,Assumptions!$AF29/12,-(SUMIF($D$2:$EE$2,L$2-1,$D28:$EE28)/12)*(1+XLOOKUP(L$2,Assumptions!$C$94:$M$94,Assumptions!$C$98:$M$98))))</f>
        <v>-1961.213558</v>
      </c>
      <c r="M28" s="54">
        <f t="array" ref="M28">-(IF(M$2=1,Assumptions!$AF29/12,-(SUMIF($D$2:$EE$2,M$2-1,$D28:$EE28)/12)*(1+XLOOKUP(M$2,Assumptions!$C$94:$M$94,Assumptions!$C$98:$M$98))))</f>
        <v>-1961.213558</v>
      </c>
      <c r="N28" s="54">
        <f t="array" ref="N28">-(IF(N$2=1,Assumptions!$AF29/12,-(SUMIF($D$2:$EE$2,N$2-1,$D28:$EE28)/12)*(1+XLOOKUP(N$2,Assumptions!$C$94:$M$94,Assumptions!$C$98:$M$98))))</f>
        <v>-1961.213558</v>
      </c>
      <c r="O28" s="54">
        <f t="array" ref="O28">-(IF(O$2=1,Assumptions!$AF29/12,-(SUMIF($D$2:$EE$2,O$2-1,$D28:$EE28)/12)*(1+XLOOKUP(O$2,Assumptions!$C$94:$M$94,Assumptions!$C$98:$M$98))))</f>
        <v>-1961.213558</v>
      </c>
      <c r="P28" s="54">
        <f t="array" ref="P28">-(IF(P$2=1,Assumptions!$AF29/12,-(SUMIF($D$2:$EE$2,P$2-1,$D28:$EE28)/12)*(1+XLOOKUP(P$2,Assumptions!$C$94:$M$94,Assumptions!$C$98:$M$98))))</f>
        <v>-2020.049965</v>
      </c>
      <c r="Q28" s="54">
        <f t="array" ref="Q28">-(IF(Q$2=1,Assumptions!$AF29/12,-(SUMIF($D$2:$EE$2,Q$2-1,$D28:$EE28)/12)*(1+XLOOKUP(Q$2,Assumptions!$C$94:$M$94,Assumptions!$C$98:$M$98))))</f>
        <v>-2020.049965</v>
      </c>
      <c r="R28" s="54">
        <f t="array" ref="R28">-(IF(R$2=1,Assumptions!$AF29/12,-(SUMIF($D$2:$EE$2,R$2-1,$D28:$EE28)/12)*(1+XLOOKUP(R$2,Assumptions!$C$94:$M$94,Assumptions!$C$98:$M$98))))</f>
        <v>-2020.049965</v>
      </c>
      <c r="S28" s="54">
        <f t="array" ref="S28">-(IF(S$2=1,Assumptions!$AF29/12,-(SUMIF($D$2:$EE$2,S$2-1,$D28:$EE28)/12)*(1+XLOOKUP(S$2,Assumptions!$C$94:$M$94,Assumptions!$C$98:$M$98))))</f>
        <v>-2020.049965</v>
      </c>
      <c r="T28" s="54">
        <f t="array" ref="T28">-(IF(T$2=1,Assumptions!$AF29/12,-(SUMIF($D$2:$EE$2,T$2-1,$D28:$EE28)/12)*(1+XLOOKUP(T$2,Assumptions!$C$94:$M$94,Assumptions!$C$98:$M$98))))</f>
        <v>-2020.049965</v>
      </c>
      <c r="U28" s="54">
        <f t="array" ref="U28">-(IF(U$2=1,Assumptions!$AF29/12,-(SUMIF($D$2:$EE$2,U$2-1,$D28:$EE28)/12)*(1+XLOOKUP(U$2,Assumptions!$C$94:$M$94,Assumptions!$C$98:$M$98))))</f>
        <v>-2020.049965</v>
      </c>
      <c r="V28" s="54">
        <f t="array" ref="V28">-(IF(V$2=1,Assumptions!$AF29/12,-(SUMIF($D$2:$EE$2,V$2-1,$D28:$EE28)/12)*(1+XLOOKUP(V$2,Assumptions!$C$94:$M$94,Assumptions!$C$98:$M$98))))</f>
        <v>-2020.049965</v>
      </c>
      <c r="W28" s="54">
        <f t="array" ref="W28">-(IF(W$2=1,Assumptions!$AF29/12,-(SUMIF($D$2:$EE$2,W$2-1,$D28:$EE28)/12)*(1+XLOOKUP(W$2,Assumptions!$C$94:$M$94,Assumptions!$C$98:$M$98))))</f>
        <v>-2020.049965</v>
      </c>
      <c r="X28" s="54">
        <f t="array" ref="X28">-(IF(X$2=1,Assumptions!$AF29/12,-(SUMIF($D$2:$EE$2,X$2-1,$D28:$EE28)/12)*(1+XLOOKUP(X$2,Assumptions!$C$94:$M$94,Assumptions!$C$98:$M$98))))</f>
        <v>-2020.049965</v>
      </c>
      <c r="Y28" s="54">
        <f t="array" ref="Y28">-(IF(Y$2=1,Assumptions!$AF29/12,-(SUMIF($D$2:$EE$2,Y$2-1,$D28:$EE28)/12)*(1+XLOOKUP(Y$2,Assumptions!$C$94:$M$94,Assumptions!$C$98:$M$98))))</f>
        <v>-2020.049965</v>
      </c>
      <c r="Z28" s="54">
        <f t="array" ref="Z28">-(IF(Z$2=1,Assumptions!$AF29/12,-(SUMIF($D$2:$EE$2,Z$2-1,$D28:$EE28)/12)*(1+XLOOKUP(Z$2,Assumptions!$C$94:$M$94,Assumptions!$C$98:$M$98))))</f>
        <v>-2020.049965</v>
      </c>
      <c r="AA28" s="54">
        <f t="array" ref="AA28">-(IF(AA$2=1,Assumptions!$AF29/12,-(SUMIF($D$2:$EE$2,AA$2-1,$D28:$EE28)/12)*(1+XLOOKUP(AA$2,Assumptions!$C$94:$M$94,Assumptions!$C$98:$M$98))))</f>
        <v>-2020.049965</v>
      </c>
      <c r="AB28" s="54">
        <f t="array" ref="AB28">-(IF(AB$2=1,Assumptions!$AF29/12,-(SUMIF($D$2:$EE$2,AB$2-1,$D28:$EE28)/12)*(1+XLOOKUP(AB$2,Assumptions!$C$94:$M$94,Assumptions!$C$98:$M$98))))</f>
        <v>-2080.651464</v>
      </c>
      <c r="AC28" s="54">
        <f t="array" ref="AC28">-(IF(AC$2=1,Assumptions!$AF29/12,-(SUMIF($D$2:$EE$2,AC$2-1,$D28:$EE28)/12)*(1+XLOOKUP(AC$2,Assumptions!$C$94:$M$94,Assumptions!$C$98:$M$98))))</f>
        <v>-2080.651464</v>
      </c>
      <c r="AD28" s="54">
        <f t="array" ref="AD28">-(IF(AD$2=1,Assumptions!$AF29/12,-(SUMIF($D$2:$EE$2,AD$2-1,$D28:$EE28)/12)*(1+XLOOKUP(AD$2,Assumptions!$C$94:$M$94,Assumptions!$C$98:$M$98))))</f>
        <v>-2080.651464</v>
      </c>
      <c r="AE28" s="54">
        <f t="array" ref="AE28">-(IF(AE$2=1,Assumptions!$AF29/12,-(SUMIF($D$2:$EE$2,AE$2-1,$D28:$EE28)/12)*(1+XLOOKUP(AE$2,Assumptions!$C$94:$M$94,Assumptions!$C$98:$M$98))))</f>
        <v>-2080.651464</v>
      </c>
      <c r="AF28" s="54">
        <f t="array" ref="AF28">-(IF(AF$2=1,Assumptions!$AF29/12,-(SUMIF($D$2:$EE$2,AF$2-1,$D28:$EE28)/12)*(1+XLOOKUP(AF$2,Assumptions!$C$94:$M$94,Assumptions!$C$98:$M$98))))</f>
        <v>-2080.651464</v>
      </c>
      <c r="AG28" s="54">
        <f t="array" ref="AG28">-(IF(AG$2=1,Assumptions!$AF29/12,-(SUMIF($D$2:$EE$2,AG$2-1,$D28:$EE28)/12)*(1+XLOOKUP(AG$2,Assumptions!$C$94:$M$94,Assumptions!$C$98:$M$98))))</f>
        <v>-2080.651464</v>
      </c>
      <c r="AH28" s="54">
        <f t="array" ref="AH28">-(IF(AH$2=1,Assumptions!$AF29/12,-(SUMIF($D$2:$EE$2,AH$2-1,$D28:$EE28)/12)*(1+XLOOKUP(AH$2,Assumptions!$C$94:$M$94,Assumptions!$C$98:$M$98))))</f>
        <v>-2080.651464</v>
      </c>
      <c r="AI28" s="54">
        <f t="array" ref="AI28">-(IF(AI$2=1,Assumptions!$AF29/12,-(SUMIF($D$2:$EE$2,AI$2-1,$D28:$EE28)/12)*(1+XLOOKUP(AI$2,Assumptions!$C$94:$M$94,Assumptions!$C$98:$M$98))))</f>
        <v>-2080.651464</v>
      </c>
      <c r="AJ28" s="54">
        <f t="array" ref="AJ28">-(IF(AJ$2=1,Assumptions!$AF29/12,-(SUMIF($D$2:$EE$2,AJ$2-1,$D28:$EE28)/12)*(1+XLOOKUP(AJ$2,Assumptions!$C$94:$M$94,Assumptions!$C$98:$M$98))))</f>
        <v>-2080.651464</v>
      </c>
      <c r="AK28" s="54">
        <f t="array" ref="AK28">-(IF(AK$2=1,Assumptions!$AF29/12,-(SUMIF($D$2:$EE$2,AK$2-1,$D28:$EE28)/12)*(1+XLOOKUP(AK$2,Assumptions!$C$94:$M$94,Assumptions!$C$98:$M$98))))</f>
        <v>-2080.651464</v>
      </c>
      <c r="AL28" s="54">
        <f t="array" ref="AL28">-(IF(AL$2=1,Assumptions!$AF29/12,-(SUMIF($D$2:$EE$2,AL$2-1,$D28:$EE28)/12)*(1+XLOOKUP(AL$2,Assumptions!$C$94:$M$94,Assumptions!$C$98:$M$98))))</f>
        <v>-2080.651464</v>
      </c>
      <c r="AM28" s="54">
        <f t="array" ref="AM28">-(IF(AM$2=1,Assumptions!$AF29/12,-(SUMIF($D$2:$EE$2,AM$2-1,$D28:$EE28)/12)*(1+XLOOKUP(AM$2,Assumptions!$C$94:$M$94,Assumptions!$C$98:$M$98))))</f>
        <v>-2080.651464</v>
      </c>
      <c r="AN28" s="54">
        <f t="array" ref="AN28">-(IF(AN$2=1,Assumptions!$AF29/12,-(SUMIF($D$2:$EE$2,AN$2-1,$D28:$EE28)/12)*(1+XLOOKUP(AN$2,Assumptions!$C$94:$M$94,Assumptions!$C$98:$M$98))))</f>
        <v>-2143.071008</v>
      </c>
      <c r="AO28" s="54">
        <f t="array" ref="AO28">-(IF(AO$2=1,Assumptions!$AF29/12,-(SUMIF($D$2:$EE$2,AO$2-1,$D28:$EE28)/12)*(1+XLOOKUP(AO$2,Assumptions!$C$94:$M$94,Assumptions!$C$98:$M$98))))</f>
        <v>-2143.071008</v>
      </c>
      <c r="AP28" s="54">
        <f t="array" ref="AP28">-(IF(AP$2=1,Assumptions!$AF29/12,-(SUMIF($D$2:$EE$2,AP$2-1,$D28:$EE28)/12)*(1+XLOOKUP(AP$2,Assumptions!$C$94:$M$94,Assumptions!$C$98:$M$98))))</f>
        <v>-2143.071008</v>
      </c>
      <c r="AQ28" s="54">
        <f t="array" ref="AQ28">-(IF(AQ$2=1,Assumptions!$AF29/12,-(SUMIF($D$2:$EE$2,AQ$2-1,$D28:$EE28)/12)*(1+XLOOKUP(AQ$2,Assumptions!$C$94:$M$94,Assumptions!$C$98:$M$98))))</f>
        <v>-2143.071008</v>
      </c>
      <c r="AR28" s="54">
        <f t="array" ref="AR28">-(IF(AR$2=1,Assumptions!$AF29/12,-(SUMIF($D$2:$EE$2,AR$2-1,$D28:$EE28)/12)*(1+XLOOKUP(AR$2,Assumptions!$C$94:$M$94,Assumptions!$C$98:$M$98))))</f>
        <v>-2143.071008</v>
      </c>
      <c r="AS28" s="54">
        <f t="array" ref="AS28">-(IF(AS$2=1,Assumptions!$AF29/12,-(SUMIF($D$2:$EE$2,AS$2-1,$D28:$EE28)/12)*(1+XLOOKUP(AS$2,Assumptions!$C$94:$M$94,Assumptions!$C$98:$M$98))))</f>
        <v>-2143.071008</v>
      </c>
      <c r="AT28" s="54">
        <f t="array" ref="AT28">-(IF(AT$2=1,Assumptions!$AF29/12,-(SUMIF($D$2:$EE$2,AT$2-1,$D28:$EE28)/12)*(1+XLOOKUP(AT$2,Assumptions!$C$94:$M$94,Assumptions!$C$98:$M$98))))</f>
        <v>-2143.071008</v>
      </c>
      <c r="AU28" s="54">
        <f t="array" ref="AU28">-(IF(AU$2=1,Assumptions!$AF29/12,-(SUMIF($D$2:$EE$2,AU$2-1,$D28:$EE28)/12)*(1+XLOOKUP(AU$2,Assumptions!$C$94:$M$94,Assumptions!$C$98:$M$98))))</f>
        <v>-2143.071008</v>
      </c>
      <c r="AV28" s="54">
        <f t="array" ref="AV28">-(IF(AV$2=1,Assumptions!$AF29/12,-(SUMIF($D$2:$EE$2,AV$2-1,$D28:$EE28)/12)*(1+XLOOKUP(AV$2,Assumptions!$C$94:$M$94,Assumptions!$C$98:$M$98))))</f>
        <v>-2143.071008</v>
      </c>
      <c r="AW28" s="54">
        <f t="array" ref="AW28">-(IF(AW$2=1,Assumptions!$AF29/12,-(SUMIF($D$2:$EE$2,AW$2-1,$D28:$EE28)/12)*(1+XLOOKUP(AW$2,Assumptions!$C$94:$M$94,Assumptions!$C$98:$M$98))))</f>
        <v>-2143.071008</v>
      </c>
      <c r="AX28" s="54">
        <f t="array" ref="AX28">-(IF(AX$2=1,Assumptions!$AF29/12,-(SUMIF($D$2:$EE$2,AX$2-1,$D28:$EE28)/12)*(1+XLOOKUP(AX$2,Assumptions!$C$94:$M$94,Assumptions!$C$98:$M$98))))</f>
        <v>-2143.071008</v>
      </c>
      <c r="AY28" s="54">
        <f t="array" ref="AY28">-(IF(AY$2=1,Assumptions!$AF29/12,-(SUMIF($D$2:$EE$2,AY$2-1,$D28:$EE28)/12)*(1+XLOOKUP(AY$2,Assumptions!$C$94:$M$94,Assumptions!$C$98:$M$98))))</f>
        <v>-2143.071008</v>
      </c>
      <c r="AZ28" s="54">
        <f t="array" ref="AZ28">-(IF(AZ$2=1,Assumptions!$AF29/12,-(SUMIF($D$2:$EE$2,AZ$2-1,$D28:$EE28)/12)*(1+XLOOKUP(AZ$2,Assumptions!$C$94:$M$94,Assumptions!$C$98:$M$98))))</f>
        <v>-2207.363138</v>
      </c>
      <c r="BA28" s="54">
        <f t="array" ref="BA28">-(IF(BA$2=1,Assumptions!$AF29/12,-(SUMIF($D$2:$EE$2,BA$2-1,$D28:$EE28)/12)*(1+XLOOKUP(BA$2,Assumptions!$C$94:$M$94,Assumptions!$C$98:$M$98))))</f>
        <v>-2207.363138</v>
      </c>
      <c r="BB28" s="54">
        <f t="array" ref="BB28">-(IF(BB$2=1,Assumptions!$AF29/12,-(SUMIF($D$2:$EE$2,BB$2-1,$D28:$EE28)/12)*(1+XLOOKUP(BB$2,Assumptions!$C$94:$M$94,Assumptions!$C$98:$M$98))))</f>
        <v>-2207.363138</v>
      </c>
      <c r="BC28" s="54">
        <f t="array" ref="BC28">-(IF(BC$2=1,Assumptions!$AF29/12,-(SUMIF($D$2:$EE$2,BC$2-1,$D28:$EE28)/12)*(1+XLOOKUP(BC$2,Assumptions!$C$94:$M$94,Assumptions!$C$98:$M$98))))</f>
        <v>-2207.363138</v>
      </c>
      <c r="BD28" s="54">
        <f t="array" ref="BD28">-(IF(BD$2=1,Assumptions!$AF29/12,-(SUMIF($D$2:$EE$2,BD$2-1,$D28:$EE28)/12)*(1+XLOOKUP(BD$2,Assumptions!$C$94:$M$94,Assumptions!$C$98:$M$98))))</f>
        <v>-2207.363138</v>
      </c>
      <c r="BE28" s="54">
        <f t="array" ref="BE28">-(IF(BE$2=1,Assumptions!$AF29/12,-(SUMIF($D$2:$EE$2,BE$2-1,$D28:$EE28)/12)*(1+XLOOKUP(BE$2,Assumptions!$C$94:$M$94,Assumptions!$C$98:$M$98))))</f>
        <v>-2207.363138</v>
      </c>
      <c r="BF28" s="54">
        <f t="array" ref="BF28">-(IF(BF$2=1,Assumptions!$AF29/12,-(SUMIF($D$2:$EE$2,BF$2-1,$D28:$EE28)/12)*(1+XLOOKUP(BF$2,Assumptions!$C$94:$M$94,Assumptions!$C$98:$M$98))))</f>
        <v>-2207.363138</v>
      </c>
      <c r="BG28" s="54">
        <f t="array" ref="BG28">-(IF(BG$2=1,Assumptions!$AF29/12,-(SUMIF($D$2:$EE$2,BG$2-1,$D28:$EE28)/12)*(1+XLOOKUP(BG$2,Assumptions!$C$94:$M$94,Assumptions!$C$98:$M$98))))</f>
        <v>-2207.363138</v>
      </c>
      <c r="BH28" s="54">
        <f t="array" ref="BH28">-(IF(BH$2=1,Assumptions!$AF29/12,-(SUMIF($D$2:$EE$2,BH$2-1,$D28:$EE28)/12)*(1+XLOOKUP(BH$2,Assumptions!$C$94:$M$94,Assumptions!$C$98:$M$98))))</f>
        <v>-2207.363138</v>
      </c>
      <c r="BI28" s="54">
        <f t="array" ref="BI28">-(IF(BI$2=1,Assumptions!$AF29/12,-(SUMIF($D$2:$EE$2,BI$2-1,$D28:$EE28)/12)*(1+XLOOKUP(BI$2,Assumptions!$C$94:$M$94,Assumptions!$C$98:$M$98))))</f>
        <v>-2207.363138</v>
      </c>
      <c r="BJ28" s="54">
        <f t="array" ref="BJ28">-(IF(BJ$2=1,Assumptions!$AF29/12,-(SUMIF($D$2:$EE$2,BJ$2-1,$D28:$EE28)/12)*(1+XLOOKUP(BJ$2,Assumptions!$C$94:$M$94,Assumptions!$C$98:$M$98))))</f>
        <v>-2207.363138</v>
      </c>
      <c r="BK28" s="54">
        <f t="array" ref="BK28">-(IF(BK$2=1,Assumptions!$AF29/12,-(SUMIF($D$2:$EE$2,BK$2-1,$D28:$EE28)/12)*(1+XLOOKUP(BK$2,Assumptions!$C$94:$M$94,Assumptions!$C$98:$M$98))))</f>
        <v>-2207.363138</v>
      </c>
      <c r="BL28" s="54">
        <f t="array" ref="BL28">-(IF(BL$2=1,Assumptions!$AF29/12,-(SUMIF($D$2:$EE$2,BL$2-1,$D28:$EE28)/12)*(1+XLOOKUP(BL$2,Assumptions!$C$94:$M$94,Assumptions!$C$98:$M$98))))</f>
        <v>-2273.584032</v>
      </c>
      <c r="BM28" s="54">
        <f t="array" ref="BM28">-(IF(BM$2=1,Assumptions!$AF29/12,-(SUMIF($D$2:$EE$2,BM$2-1,$D28:$EE28)/12)*(1+XLOOKUP(BM$2,Assumptions!$C$94:$M$94,Assumptions!$C$98:$M$98))))</f>
        <v>-2273.584032</v>
      </c>
      <c r="BN28" s="54">
        <f t="array" ref="BN28">-(IF(BN$2=1,Assumptions!$AF29/12,-(SUMIF($D$2:$EE$2,BN$2-1,$D28:$EE28)/12)*(1+XLOOKUP(BN$2,Assumptions!$C$94:$M$94,Assumptions!$C$98:$M$98))))</f>
        <v>-2273.584032</v>
      </c>
      <c r="BO28" s="54">
        <f t="array" ref="BO28">-(IF(BO$2=1,Assumptions!$AF29/12,-(SUMIF($D$2:$EE$2,BO$2-1,$D28:$EE28)/12)*(1+XLOOKUP(BO$2,Assumptions!$C$94:$M$94,Assumptions!$C$98:$M$98))))</f>
        <v>-2273.584032</v>
      </c>
      <c r="BP28" s="54">
        <f t="array" ref="BP28">-(IF(BP$2=1,Assumptions!$AF29/12,-(SUMIF($D$2:$EE$2,BP$2-1,$D28:$EE28)/12)*(1+XLOOKUP(BP$2,Assumptions!$C$94:$M$94,Assumptions!$C$98:$M$98))))</f>
        <v>-2273.584032</v>
      </c>
      <c r="BQ28" s="54">
        <f t="array" ref="BQ28">-(IF(BQ$2=1,Assumptions!$AF29/12,-(SUMIF($D$2:$EE$2,BQ$2-1,$D28:$EE28)/12)*(1+XLOOKUP(BQ$2,Assumptions!$C$94:$M$94,Assumptions!$C$98:$M$98))))</f>
        <v>-2273.584032</v>
      </c>
      <c r="BR28" s="54">
        <f t="array" ref="BR28">-(IF(BR$2=1,Assumptions!$AF29/12,-(SUMIF($D$2:$EE$2,BR$2-1,$D28:$EE28)/12)*(1+XLOOKUP(BR$2,Assumptions!$C$94:$M$94,Assumptions!$C$98:$M$98))))</f>
        <v>-2273.584032</v>
      </c>
      <c r="BS28" s="54">
        <f t="array" ref="BS28">-(IF(BS$2=1,Assumptions!$AF29/12,-(SUMIF($D$2:$EE$2,BS$2-1,$D28:$EE28)/12)*(1+XLOOKUP(BS$2,Assumptions!$C$94:$M$94,Assumptions!$C$98:$M$98))))</f>
        <v>-2273.584032</v>
      </c>
      <c r="BT28" s="54">
        <f t="array" ref="BT28">-(IF(BT$2=1,Assumptions!$AF29/12,-(SUMIF($D$2:$EE$2,BT$2-1,$D28:$EE28)/12)*(1+XLOOKUP(BT$2,Assumptions!$C$94:$M$94,Assumptions!$C$98:$M$98))))</f>
        <v>-2273.584032</v>
      </c>
      <c r="BU28" s="54">
        <f t="array" ref="BU28">-(IF(BU$2=1,Assumptions!$AF29/12,-(SUMIF($D$2:$EE$2,BU$2-1,$D28:$EE28)/12)*(1+XLOOKUP(BU$2,Assumptions!$C$94:$M$94,Assumptions!$C$98:$M$98))))</f>
        <v>-2273.584032</v>
      </c>
      <c r="BV28" s="54">
        <f t="array" ref="BV28">-(IF(BV$2=1,Assumptions!$AF29/12,-(SUMIF($D$2:$EE$2,BV$2-1,$D28:$EE28)/12)*(1+XLOOKUP(BV$2,Assumptions!$C$94:$M$94,Assumptions!$C$98:$M$98))))</f>
        <v>-2273.584032</v>
      </c>
      <c r="BW28" s="54">
        <f t="array" ref="BW28">-(IF(BW$2=1,Assumptions!$AF29/12,-(SUMIF($D$2:$EE$2,BW$2-1,$D28:$EE28)/12)*(1+XLOOKUP(BW$2,Assumptions!$C$94:$M$94,Assumptions!$C$98:$M$98))))</f>
        <v>-2273.584032</v>
      </c>
      <c r="BX28" s="54">
        <f t="array" ref="BX28">-(IF(BX$2=1,Assumptions!$AF29/12,-(SUMIF($D$2:$EE$2,BX$2-1,$D28:$EE28)/12)*(1+XLOOKUP(BX$2,Assumptions!$C$94:$M$94,Assumptions!$C$98:$M$98))))</f>
        <v>-2341.791553</v>
      </c>
      <c r="BY28" s="54">
        <f t="array" ref="BY28">-(IF(BY$2=1,Assumptions!$AF29/12,-(SUMIF($D$2:$EE$2,BY$2-1,$D28:$EE28)/12)*(1+XLOOKUP(BY$2,Assumptions!$C$94:$M$94,Assumptions!$C$98:$M$98))))</f>
        <v>-2341.791553</v>
      </c>
      <c r="BZ28" s="54">
        <f t="array" ref="BZ28">-(IF(BZ$2=1,Assumptions!$AF29/12,-(SUMIF($D$2:$EE$2,BZ$2-1,$D28:$EE28)/12)*(1+XLOOKUP(BZ$2,Assumptions!$C$94:$M$94,Assumptions!$C$98:$M$98))))</f>
        <v>-2341.791553</v>
      </c>
      <c r="CA28" s="54">
        <f t="array" ref="CA28">-(IF(CA$2=1,Assumptions!$AF29/12,-(SUMIF($D$2:$EE$2,CA$2-1,$D28:$EE28)/12)*(1+XLOOKUP(CA$2,Assumptions!$C$94:$M$94,Assumptions!$C$98:$M$98))))</f>
        <v>-2341.791553</v>
      </c>
      <c r="CB28" s="54">
        <f t="array" ref="CB28">-(IF(CB$2=1,Assumptions!$AF29/12,-(SUMIF($D$2:$EE$2,CB$2-1,$D28:$EE28)/12)*(1+XLOOKUP(CB$2,Assumptions!$C$94:$M$94,Assumptions!$C$98:$M$98))))</f>
        <v>-2341.791553</v>
      </c>
      <c r="CC28" s="54">
        <f t="array" ref="CC28">-(IF(CC$2=1,Assumptions!$AF29/12,-(SUMIF($D$2:$EE$2,CC$2-1,$D28:$EE28)/12)*(1+XLOOKUP(CC$2,Assumptions!$C$94:$M$94,Assumptions!$C$98:$M$98))))</f>
        <v>-2341.791553</v>
      </c>
      <c r="CD28" s="54">
        <f t="array" ref="CD28">-(IF(CD$2=1,Assumptions!$AF29/12,-(SUMIF($D$2:$EE$2,CD$2-1,$D28:$EE28)/12)*(1+XLOOKUP(CD$2,Assumptions!$C$94:$M$94,Assumptions!$C$98:$M$98))))</f>
        <v>-2341.791553</v>
      </c>
      <c r="CE28" s="54">
        <f t="array" ref="CE28">-(IF(CE$2=1,Assumptions!$AF29/12,-(SUMIF($D$2:$EE$2,CE$2-1,$D28:$EE28)/12)*(1+XLOOKUP(CE$2,Assumptions!$C$94:$M$94,Assumptions!$C$98:$M$98))))</f>
        <v>-2341.791553</v>
      </c>
      <c r="CF28" s="54">
        <f t="array" ref="CF28">-(IF(CF$2=1,Assumptions!$AF29/12,-(SUMIF($D$2:$EE$2,CF$2-1,$D28:$EE28)/12)*(1+XLOOKUP(CF$2,Assumptions!$C$94:$M$94,Assumptions!$C$98:$M$98))))</f>
        <v>-2341.791553</v>
      </c>
      <c r="CG28" s="54">
        <f t="array" ref="CG28">-(IF(CG$2=1,Assumptions!$AF29/12,-(SUMIF($D$2:$EE$2,CG$2-1,$D28:$EE28)/12)*(1+XLOOKUP(CG$2,Assumptions!$C$94:$M$94,Assumptions!$C$98:$M$98))))</f>
        <v>-2341.791553</v>
      </c>
      <c r="CH28" s="54">
        <f t="array" ref="CH28">-(IF(CH$2=1,Assumptions!$AF29/12,-(SUMIF($D$2:$EE$2,CH$2-1,$D28:$EE28)/12)*(1+XLOOKUP(CH$2,Assumptions!$C$94:$M$94,Assumptions!$C$98:$M$98))))</f>
        <v>-2341.791553</v>
      </c>
      <c r="CI28" s="54">
        <f t="array" ref="CI28">-(IF(CI$2=1,Assumptions!$AF29/12,-(SUMIF($D$2:$EE$2,CI$2-1,$D28:$EE28)/12)*(1+XLOOKUP(CI$2,Assumptions!$C$94:$M$94,Assumptions!$C$98:$M$98))))</f>
        <v>-2341.791553</v>
      </c>
      <c r="CJ28" s="54">
        <f t="array" ref="CJ28">-(IF(CJ$2=1,Assumptions!$AF29/12,-(SUMIF($D$2:$EE$2,CJ$2-1,$D28:$EE28)/12)*(1+XLOOKUP(CJ$2,Assumptions!$C$94:$M$94,Assumptions!$C$98:$M$98))))</f>
        <v>-2412.0453</v>
      </c>
      <c r="CK28" s="54">
        <f t="array" ref="CK28">-(IF(CK$2=1,Assumptions!$AF29/12,-(SUMIF($D$2:$EE$2,CK$2-1,$D28:$EE28)/12)*(1+XLOOKUP(CK$2,Assumptions!$C$94:$M$94,Assumptions!$C$98:$M$98))))</f>
        <v>-2412.0453</v>
      </c>
      <c r="CL28" s="54">
        <f t="array" ref="CL28">-(IF(CL$2=1,Assumptions!$AF29/12,-(SUMIF($D$2:$EE$2,CL$2-1,$D28:$EE28)/12)*(1+XLOOKUP(CL$2,Assumptions!$C$94:$M$94,Assumptions!$C$98:$M$98))))</f>
        <v>-2412.0453</v>
      </c>
      <c r="CM28" s="54">
        <f t="array" ref="CM28">-(IF(CM$2=1,Assumptions!$AF29/12,-(SUMIF($D$2:$EE$2,CM$2-1,$D28:$EE28)/12)*(1+XLOOKUP(CM$2,Assumptions!$C$94:$M$94,Assumptions!$C$98:$M$98))))</f>
        <v>-2412.0453</v>
      </c>
      <c r="CN28" s="54">
        <f t="array" ref="CN28">-(IF(CN$2=1,Assumptions!$AF29/12,-(SUMIF($D$2:$EE$2,CN$2-1,$D28:$EE28)/12)*(1+XLOOKUP(CN$2,Assumptions!$C$94:$M$94,Assumptions!$C$98:$M$98))))</f>
        <v>-2412.0453</v>
      </c>
      <c r="CO28" s="54">
        <f t="array" ref="CO28">-(IF(CO$2=1,Assumptions!$AF29/12,-(SUMIF($D$2:$EE$2,CO$2-1,$D28:$EE28)/12)*(1+XLOOKUP(CO$2,Assumptions!$C$94:$M$94,Assumptions!$C$98:$M$98))))</f>
        <v>-2412.0453</v>
      </c>
      <c r="CP28" s="54">
        <f t="array" ref="CP28">-(IF(CP$2=1,Assumptions!$AF29/12,-(SUMIF($D$2:$EE$2,CP$2-1,$D28:$EE28)/12)*(1+XLOOKUP(CP$2,Assumptions!$C$94:$M$94,Assumptions!$C$98:$M$98))))</f>
        <v>-2412.0453</v>
      </c>
      <c r="CQ28" s="54">
        <f t="array" ref="CQ28">-(IF(CQ$2=1,Assumptions!$AF29/12,-(SUMIF($D$2:$EE$2,CQ$2-1,$D28:$EE28)/12)*(1+XLOOKUP(CQ$2,Assumptions!$C$94:$M$94,Assumptions!$C$98:$M$98))))</f>
        <v>-2412.0453</v>
      </c>
      <c r="CR28" s="54">
        <f t="array" ref="CR28">-(IF(CR$2=1,Assumptions!$AF29/12,-(SUMIF($D$2:$EE$2,CR$2-1,$D28:$EE28)/12)*(1+XLOOKUP(CR$2,Assumptions!$C$94:$M$94,Assumptions!$C$98:$M$98))))</f>
        <v>-2412.0453</v>
      </c>
      <c r="CS28" s="54">
        <f t="array" ref="CS28">-(IF(CS$2=1,Assumptions!$AF29/12,-(SUMIF($D$2:$EE$2,CS$2-1,$D28:$EE28)/12)*(1+XLOOKUP(CS$2,Assumptions!$C$94:$M$94,Assumptions!$C$98:$M$98))))</f>
        <v>-2412.0453</v>
      </c>
      <c r="CT28" s="54">
        <f t="array" ref="CT28">-(IF(CT$2=1,Assumptions!$AF29/12,-(SUMIF($D$2:$EE$2,CT$2-1,$D28:$EE28)/12)*(1+XLOOKUP(CT$2,Assumptions!$C$94:$M$94,Assumptions!$C$98:$M$98))))</f>
        <v>-2412.0453</v>
      </c>
      <c r="CU28" s="54">
        <f t="array" ref="CU28">-(IF(CU$2=1,Assumptions!$AF29/12,-(SUMIF($D$2:$EE$2,CU$2-1,$D28:$EE28)/12)*(1+XLOOKUP(CU$2,Assumptions!$C$94:$M$94,Assumptions!$C$98:$M$98))))</f>
        <v>-2412.0453</v>
      </c>
      <c r="CV28" s="54">
        <f t="array" ref="CV28">-(IF(CV$2=1,Assumptions!$AF29/12,-(SUMIF($D$2:$EE$2,CV$2-1,$D28:$EE28)/12)*(1+XLOOKUP(CV$2,Assumptions!$C$94:$M$94,Assumptions!$C$98:$M$98))))</f>
        <v>-2484.406659</v>
      </c>
      <c r="CW28" s="54">
        <f t="array" ref="CW28">-(IF(CW$2=1,Assumptions!$AF29/12,-(SUMIF($D$2:$EE$2,CW$2-1,$D28:$EE28)/12)*(1+XLOOKUP(CW$2,Assumptions!$C$94:$M$94,Assumptions!$C$98:$M$98))))</f>
        <v>-2484.406659</v>
      </c>
      <c r="CX28" s="54">
        <f t="array" ref="CX28">-(IF(CX$2=1,Assumptions!$AF29/12,-(SUMIF($D$2:$EE$2,CX$2-1,$D28:$EE28)/12)*(1+XLOOKUP(CX$2,Assumptions!$C$94:$M$94,Assumptions!$C$98:$M$98))))</f>
        <v>-2484.406659</v>
      </c>
      <c r="CY28" s="54">
        <f t="array" ref="CY28">-(IF(CY$2=1,Assumptions!$AF29/12,-(SUMIF($D$2:$EE$2,CY$2-1,$D28:$EE28)/12)*(1+XLOOKUP(CY$2,Assumptions!$C$94:$M$94,Assumptions!$C$98:$M$98))))</f>
        <v>-2484.406659</v>
      </c>
      <c r="CZ28" s="54">
        <f t="array" ref="CZ28">-(IF(CZ$2=1,Assumptions!$AF29/12,-(SUMIF($D$2:$EE$2,CZ$2-1,$D28:$EE28)/12)*(1+XLOOKUP(CZ$2,Assumptions!$C$94:$M$94,Assumptions!$C$98:$M$98))))</f>
        <v>-2484.406659</v>
      </c>
      <c r="DA28" s="54">
        <f t="array" ref="DA28">-(IF(DA$2=1,Assumptions!$AF29/12,-(SUMIF($D$2:$EE$2,DA$2-1,$D28:$EE28)/12)*(1+XLOOKUP(DA$2,Assumptions!$C$94:$M$94,Assumptions!$C$98:$M$98))))</f>
        <v>-2484.406659</v>
      </c>
      <c r="DB28" s="54">
        <f t="array" ref="DB28">-(IF(DB$2=1,Assumptions!$AF29/12,-(SUMIF($D$2:$EE$2,DB$2-1,$D28:$EE28)/12)*(1+XLOOKUP(DB$2,Assumptions!$C$94:$M$94,Assumptions!$C$98:$M$98))))</f>
        <v>-2484.406659</v>
      </c>
      <c r="DC28" s="54">
        <f t="array" ref="DC28">-(IF(DC$2=1,Assumptions!$AF29/12,-(SUMIF($D$2:$EE$2,DC$2-1,$D28:$EE28)/12)*(1+XLOOKUP(DC$2,Assumptions!$C$94:$M$94,Assumptions!$C$98:$M$98))))</f>
        <v>-2484.406659</v>
      </c>
      <c r="DD28" s="54">
        <f t="array" ref="DD28">-(IF(DD$2=1,Assumptions!$AF29/12,-(SUMIF($D$2:$EE$2,DD$2-1,$D28:$EE28)/12)*(1+XLOOKUP(DD$2,Assumptions!$C$94:$M$94,Assumptions!$C$98:$M$98))))</f>
        <v>-2484.406659</v>
      </c>
      <c r="DE28" s="54">
        <f t="array" ref="DE28">-(IF(DE$2=1,Assumptions!$AF29/12,-(SUMIF($D$2:$EE$2,DE$2-1,$D28:$EE28)/12)*(1+XLOOKUP(DE$2,Assumptions!$C$94:$M$94,Assumptions!$C$98:$M$98))))</f>
        <v>-2484.406659</v>
      </c>
      <c r="DF28" s="54">
        <f t="array" ref="DF28">-(IF(DF$2=1,Assumptions!$AF29/12,-(SUMIF($D$2:$EE$2,DF$2-1,$D28:$EE28)/12)*(1+XLOOKUP(DF$2,Assumptions!$C$94:$M$94,Assumptions!$C$98:$M$98))))</f>
        <v>-2484.406659</v>
      </c>
      <c r="DG28" s="54">
        <f t="array" ref="DG28">-(IF(DG$2=1,Assumptions!$AF29/12,-(SUMIF($D$2:$EE$2,DG$2-1,$D28:$EE28)/12)*(1+XLOOKUP(DG$2,Assumptions!$C$94:$M$94,Assumptions!$C$98:$M$98))))</f>
        <v>-2484.406659</v>
      </c>
      <c r="DH28" s="54">
        <f t="array" ref="DH28">-(IF(DH$2=1,Assumptions!$AF29/12,-(SUMIF($D$2:$EE$2,DH$2-1,$D28:$EE28)/12)*(1+XLOOKUP(DH$2,Assumptions!$C$94:$M$94,Assumptions!$C$98:$M$98))))</f>
        <v>-2558.938859</v>
      </c>
      <c r="DI28" s="54">
        <f t="array" ref="DI28">-(IF(DI$2=1,Assumptions!$AF29/12,-(SUMIF($D$2:$EE$2,DI$2-1,$D28:$EE28)/12)*(1+XLOOKUP(DI$2,Assumptions!$C$94:$M$94,Assumptions!$C$98:$M$98))))</f>
        <v>-2558.938859</v>
      </c>
      <c r="DJ28" s="54">
        <f t="array" ref="DJ28">-(IF(DJ$2=1,Assumptions!$AF29/12,-(SUMIF($D$2:$EE$2,DJ$2-1,$D28:$EE28)/12)*(1+XLOOKUP(DJ$2,Assumptions!$C$94:$M$94,Assumptions!$C$98:$M$98))))</f>
        <v>-2558.938859</v>
      </c>
      <c r="DK28" s="54">
        <f t="array" ref="DK28">-(IF(DK$2=1,Assumptions!$AF29/12,-(SUMIF($D$2:$EE$2,DK$2-1,$D28:$EE28)/12)*(1+XLOOKUP(DK$2,Assumptions!$C$94:$M$94,Assumptions!$C$98:$M$98))))</f>
        <v>-2558.938859</v>
      </c>
      <c r="DL28" s="54">
        <f t="array" ref="DL28">-(IF(DL$2=1,Assumptions!$AF29/12,-(SUMIF($D$2:$EE$2,DL$2-1,$D28:$EE28)/12)*(1+XLOOKUP(DL$2,Assumptions!$C$94:$M$94,Assumptions!$C$98:$M$98))))</f>
        <v>-2558.938859</v>
      </c>
      <c r="DM28" s="54">
        <f t="array" ref="DM28">-(IF(DM$2=1,Assumptions!$AF29/12,-(SUMIF($D$2:$EE$2,DM$2-1,$D28:$EE28)/12)*(1+XLOOKUP(DM$2,Assumptions!$C$94:$M$94,Assumptions!$C$98:$M$98))))</f>
        <v>-2558.938859</v>
      </c>
      <c r="DN28" s="54">
        <f t="array" ref="DN28">-(IF(DN$2=1,Assumptions!$AF29/12,-(SUMIF($D$2:$EE$2,DN$2-1,$D28:$EE28)/12)*(1+XLOOKUP(DN$2,Assumptions!$C$94:$M$94,Assumptions!$C$98:$M$98))))</f>
        <v>-2558.938859</v>
      </c>
      <c r="DO28" s="54">
        <f t="array" ref="DO28">-(IF(DO$2=1,Assumptions!$AF29/12,-(SUMIF($D$2:$EE$2,DO$2-1,$D28:$EE28)/12)*(1+XLOOKUP(DO$2,Assumptions!$C$94:$M$94,Assumptions!$C$98:$M$98))))</f>
        <v>-2558.938859</v>
      </c>
      <c r="DP28" s="54">
        <f t="array" ref="DP28">-(IF(DP$2=1,Assumptions!$AF29/12,-(SUMIF($D$2:$EE$2,DP$2-1,$D28:$EE28)/12)*(1+XLOOKUP(DP$2,Assumptions!$C$94:$M$94,Assumptions!$C$98:$M$98))))</f>
        <v>-2558.938859</v>
      </c>
      <c r="DQ28" s="54">
        <f t="array" ref="DQ28">-(IF(DQ$2=1,Assumptions!$AF29/12,-(SUMIF($D$2:$EE$2,DQ$2-1,$D28:$EE28)/12)*(1+XLOOKUP(DQ$2,Assumptions!$C$94:$M$94,Assumptions!$C$98:$M$98))))</f>
        <v>-2558.938859</v>
      </c>
      <c r="DR28" s="54">
        <f t="array" ref="DR28">-(IF(DR$2=1,Assumptions!$AF29/12,-(SUMIF($D$2:$EE$2,DR$2-1,$D28:$EE28)/12)*(1+XLOOKUP(DR$2,Assumptions!$C$94:$M$94,Assumptions!$C$98:$M$98))))</f>
        <v>-2558.938859</v>
      </c>
      <c r="DS28" s="54">
        <f t="array" ref="DS28">-(IF(DS$2=1,Assumptions!$AF29/12,-(SUMIF($D$2:$EE$2,DS$2-1,$D28:$EE28)/12)*(1+XLOOKUP(DS$2,Assumptions!$C$94:$M$94,Assumptions!$C$98:$M$98))))</f>
        <v>-2558.938859</v>
      </c>
      <c r="DT28" s="54">
        <f t="array" ref="DT28">-(IF(DT$2=1,Assumptions!$AF29/12,-(SUMIF($D$2:$EE$2,DT$2-1,$D28:$EE28)/12)*(1+XLOOKUP(DT$2,Assumptions!$C$94:$M$94,Assumptions!$C$98:$M$98))))</f>
        <v>-2635.707024</v>
      </c>
      <c r="DU28" s="54">
        <f t="array" ref="DU28">-(IF(DU$2=1,Assumptions!$AF29/12,-(SUMIF($D$2:$EE$2,DU$2-1,$D28:$EE28)/12)*(1+XLOOKUP(DU$2,Assumptions!$C$94:$M$94,Assumptions!$C$98:$M$98))))</f>
        <v>-2635.707024</v>
      </c>
      <c r="DV28" s="54">
        <f t="array" ref="DV28">-(IF(DV$2=1,Assumptions!$AF29/12,-(SUMIF($D$2:$EE$2,DV$2-1,$D28:$EE28)/12)*(1+XLOOKUP(DV$2,Assumptions!$C$94:$M$94,Assumptions!$C$98:$M$98))))</f>
        <v>-2635.707024</v>
      </c>
      <c r="DW28" s="54">
        <f t="array" ref="DW28">-(IF(DW$2=1,Assumptions!$AF29/12,-(SUMIF($D$2:$EE$2,DW$2-1,$D28:$EE28)/12)*(1+XLOOKUP(DW$2,Assumptions!$C$94:$M$94,Assumptions!$C$98:$M$98))))</f>
        <v>-2635.707024</v>
      </c>
      <c r="DX28" s="54">
        <f t="array" ref="DX28">-(IF(DX$2=1,Assumptions!$AF29/12,-(SUMIF($D$2:$EE$2,DX$2-1,$D28:$EE28)/12)*(1+XLOOKUP(DX$2,Assumptions!$C$94:$M$94,Assumptions!$C$98:$M$98))))</f>
        <v>-2635.707024</v>
      </c>
      <c r="DY28" s="54">
        <f t="array" ref="DY28">-(IF(DY$2=1,Assumptions!$AF29/12,-(SUMIF($D$2:$EE$2,DY$2-1,$D28:$EE28)/12)*(1+XLOOKUP(DY$2,Assumptions!$C$94:$M$94,Assumptions!$C$98:$M$98))))</f>
        <v>-2635.707024</v>
      </c>
      <c r="DZ28" s="54">
        <f t="array" ref="DZ28">-(IF(DZ$2=1,Assumptions!$AF29/12,-(SUMIF($D$2:$EE$2,DZ$2-1,$D28:$EE28)/12)*(1+XLOOKUP(DZ$2,Assumptions!$C$94:$M$94,Assumptions!$C$98:$M$98))))</f>
        <v>-2635.707024</v>
      </c>
      <c r="EA28" s="54">
        <f t="array" ref="EA28">-(IF(EA$2=1,Assumptions!$AF29/12,-(SUMIF($D$2:$EE$2,EA$2-1,$D28:$EE28)/12)*(1+XLOOKUP(EA$2,Assumptions!$C$94:$M$94,Assumptions!$C$98:$M$98))))</f>
        <v>-2635.707024</v>
      </c>
      <c r="EB28" s="54">
        <f t="array" ref="EB28">-(IF(EB$2=1,Assumptions!$AF29/12,-(SUMIF($D$2:$EE$2,EB$2-1,$D28:$EE28)/12)*(1+XLOOKUP(EB$2,Assumptions!$C$94:$M$94,Assumptions!$C$98:$M$98))))</f>
        <v>-2635.707024</v>
      </c>
      <c r="EC28" s="54">
        <f t="array" ref="EC28">-(IF(EC$2=1,Assumptions!$AF29/12,-(SUMIF($D$2:$EE$2,EC$2-1,$D28:$EE28)/12)*(1+XLOOKUP(EC$2,Assumptions!$C$94:$M$94,Assumptions!$C$98:$M$98))))</f>
        <v>-2635.707024</v>
      </c>
      <c r="ED28" s="54">
        <f t="array" ref="ED28">-(IF(ED$2=1,Assumptions!$AF29/12,-(SUMIF($D$2:$EE$2,ED$2-1,$D28:$EE28)/12)*(1+XLOOKUP(ED$2,Assumptions!$C$94:$M$94,Assumptions!$C$98:$M$98))))</f>
        <v>-2635.707024</v>
      </c>
      <c r="EE28" s="54">
        <f t="array" ref="EE28">-(IF(EE$2=1,Assumptions!$AF29/12,-(SUMIF($D$2:$EE$2,EE$2-1,$D28:$EE28)/12)*(1+XLOOKUP(EE$2,Assumptions!$C$94:$M$94,Assumptions!$C$98:$M$98))))</f>
        <v>-2635.707024</v>
      </c>
    </row>
    <row r="29" ht="15.75" customHeight="1">
      <c r="A29" s="1"/>
      <c r="B29" s="1"/>
      <c r="C29" s="1" t="str">
        <f>Assumptions!J30</f>
        <v>Management Fee</v>
      </c>
      <c r="D29" s="54">
        <f>-D$18*Assumptions!$AD$30</f>
        <v>-5197.05018</v>
      </c>
      <c r="E29" s="54">
        <f>-E$18*Assumptions!$AD$30</f>
        <v>-5197.05018</v>
      </c>
      <c r="F29" s="54">
        <f>-F$18*Assumptions!$AD$30</f>
        <v>-5197.05018</v>
      </c>
      <c r="G29" s="54">
        <f>-G$18*Assumptions!$AD$30</f>
        <v>-5197.05018</v>
      </c>
      <c r="H29" s="54">
        <f>-H$18*Assumptions!$AD$30</f>
        <v>-5197.05018</v>
      </c>
      <c r="I29" s="54">
        <f>-I$18*Assumptions!$AD$30</f>
        <v>-5197.05018</v>
      </c>
      <c r="J29" s="54">
        <f>-J$18*Assumptions!$AD$30</f>
        <v>-5197.05018</v>
      </c>
      <c r="K29" s="54">
        <f>-K$18*Assumptions!$AD$30</f>
        <v>-5197.05018</v>
      </c>
      <c r="L29" s="54">
        <f>-L$18*Assumptions!$AD$30</f>
        <v>-5197.05018</v>
      </c>
      <c r="M29" s="54">
        <f>-M$18*Assumptions!$AD$30</f>
        <v>-5197.05018</v>
      </c>
      <c r="N29" s="54">
        <f>-N$18*Assumptions!$AD$30</f>
        <v>-5197.05018</v>
      </c>
      <c r="O29" s="54">
        <f>-O$18*Assumptions!$AD$30</f>
        <v>-5197.05018</v>
      </c>
      <c r="P29" s="54">
        <f>-P$18*Assumptions!$AD$30</f>
        <v>-5525.637869</v>
      </c>
      <c r="Q29" s="54">
        <f>-Q$18*Assumptions!$AD$30</f>
        <v>-5525.637869</v>
      </c>
      <c r="R29" s="54">
        <f>-R$18*Assumptions!$AD$30</f>
        <v>-5525.637869</v>
      </c>
      <c r="S29" s="54">
        <f>-S$18*Assumptions!$AD$30</f>
        <v>-5525.637869</v>
      </c>
      <c r="T29" s="54">
        <f>-T$18*Assumptions!$AD$30</f>
        <v>-5525.637869</v>
      </c>
      <c r="U29" s="54">
        <f>-U$18*Assumptions!$AD$30</f>
        <v>-5525.637869</v>
      </c>
      <c r="V29" s="54">
        <f>-V$18*Assumptions!$AD$30</f>
        <v>-5525.637869</v>
      </c>
      <c r="W29" s="54">
        <f>-W$18*Assumptions!$AD$30</f>
        <v>-5525.637869</v>
      </c>
      <c r="X29" s="54">
        <f>-X$18*Assumptions!$AD$30</f>
        <v>-5525.637869</v>
      </c>
      <c r="Y29" s="54">
        <f>-Y$18*Assumptions!$AD$30</f>
        <v>-5525.637869</v>
      </c>
      <c r="Z29" s="54">
        <f>-Z$18*Assumptions!$AD$30</f>
        <v>-5525.637869</v>
      </c>
      <c r="AA29" s="54">
        <f>-AA$18*Assumptions!$AD$30</f>
        <v>-5525.637869</v>
      </c>
      <c r="AB29" s="54">
        <f>-AB$18*Assumptions!$AD$30</f>
        <v>-5691.407005</v>
      </c>
      <c r="AC29" s="54">
        <f>-AC$18*Assumptions!$AD$30</f>
        <v>-5691.407005</v>
      </c>
      <c r="AD29" s="54">
        <f>-AD$18*Assumptions!$AD$30</f>
        <v>-5691.407005</v>
      </c>
      <c r="AE29" s="54">
        <f>-AE$18*Assumptions!$AD$30</f>
        <v>-5691.407005</v>
      </c>
      <c r="AF29" s="54">
        <f>-AF$18*Assumptions!$AD$30</f>
        <v>-5691.407005</v>
      </c>
      <c r="AG29" s="54">
        <f>-AG$18*Assumptions!$AD$30</f>
        <v>-5691.407005</v>
      </c>
      <c r="AH29" s="54">
        <f>-AH$18*Assumptions!$AD$30</f>
        <v>-5691.407005</v>
      </c>
      <c r="AI29" s="54">
        <f>-AI$18*Assumptions!$AD$30</f>
        <v>-5691.407005</v>
      </c>
      <c r="AJ29" s="54">
        <f>-AJ$18*Assumptions!$AD$30</f>
        <v>-5691.407005</v>
      </c>
      <c r="AK29" s="54">
        <f>-AK$18*Assumptions!$AD$30</f>
        <v>-5691.407005</v>
      </c>
      <c r="AL29" s="54">
        <f>-AL$18*Assumptions!$AD$30</f>
        <v>-5691.407005</v>
      </c>
      <c r="AM29" s="54">
        <f>-AM$18*Assumptions!$AD$30</f>
        <v>-5691.407005</v>
      </c>
      <c r="AN29" s="54">
        <f>-AN$18*Assumptions!$AD$30</f>
        <v>-5862.149215</v>
      </c>
      <c r="AO29" s="54">
        <f>-AO$18*Assumptions!$AD$30</f>
        <v>-5862.149215</v>
      </c>
      <c r="AP29" s="54">
        <f>-AP$18*Assumptions!$AD$30</f>
        <v>-5862.149215</v>
      </c>
      <c r="AQ29" s="54">
        <f>-AQ$18*Assumptions!$AD$30</f>
        <v>-5862.149215</v>
      </c>
      <c r="AR29" s="54">
        <f>-AR$18*Assumptions!$AD$30</f>
        <v>-5862.149215</v>
      </c>
      <c r="AS29" s="54">
        <f>-AS$18*Assumptions!$AD$30</f>
        <v>-5862.149215</v>
      </c>
      <c r="AT29" s="54">
        <f>-AT$18*Assumptions!$AD$30</f>
        <v>-5862.149215</v>
      </c>
      <c r="AU29" s="54">
        <f>-AU$18*Assumptions!$AD$30</f>
        <v>-5862.149215</v>
      </c>
      <c r="AV29" s="54">
        <f>-AV$18*Assumptions!$AD$30</f>
        <v>-5862.149215</v>
      </c>
      <c r="AW29" s="54">
        <f>-AW$18*Assumptions!$AD$30</f>
        <v>-5862.149215</v>
      </c>
      <c r="AX29" s="54">
        <f>-AX$18*Assumptions!$AD$30</f>
        <v>-5862.149215</v>
      </c>
      <c r="AY29" s="54">
        <f>-AY$18*Assumptions!$AD$30</f>
        <v>-5862.149215</v>
      </c>
      <c r="AZ29" s="54">
        <f>-AZ$18*Assumptions!$AD$30</f>
        <v>-6038.013691</v>
      </c>
      <c r="BA29" s="54">
        <f>-BA$18*Assumptions!$AD$30</f>
        <v>-6038.013691</v>
      </c>
      <c r="BB29" s="54">
        <f>-BB$18*Assumptions!$AD$30</f>
        <v>-6038.013691</v>
      </c>
      <c r="BC29" s="54">
        <f>-BC$18*Assumptions!$AD$30</f>
        <v>-6038.013691</v>
      </c>
      <c r="BD29" s="54">
        <f>-BD$18*Assumptions!$AD$30</f>
        <v>-6038.013691</v>
      </c>
      <c r="BE29" s="54">
        <f>-BE$18*Assumptions!$AD$30</f>
        <v>-6038.013691</v>
      </c>
      <c r="BF29" s="54">
        <f>-BF$18*Assumptions!$AD$30</f>
        <v>-6038.013691</v>
      </c>
      <c r="BG29" s="54">
        <f>-BG$18*Assumptions!$AD$30</f>
        <v>-6038.013691</v>
      </c>
      <c r="BH29" s="54">
        <f>-BH$18*Assumptions!$AD$30</f>
        <v>-6038.013691</v>
      </c>
      <c r="BI29" s="54">
        <f>-BI$18*Assumptions!$AD$30</f>
        <v>-6038.013691</v>
      </c>
      <c r="BJ29" s="54">
        <f>-BJ$18*Assumptions!$AD$30</f>
        <v>-6038.013691</v>
      </c>
      <c r="BK29" s="54">
        <f>-BK$18*Assumptions!$AD$30</f>
        <v>-6038.013691</v>
      </c>
      <c r="BL29" s="54">
        <f>-BL$18*Assumptions!$AD$30</f>
        <v>-6219.154102</v>
      </c>
      <c r="BM29" s="54">
        <f>-BM$18*Assumptions!$AD$30</f>
        <v>-6219.154102</v>
      </c>
      <c r="BN29" s="54">
        <f>-BN$18*Assumptions!$AD$30</f>
        <v>-6219.154102</v>
      </c>
      <c r="BO29" s="54">
        <f>-BO$18*Assumptions!$AD$30</f>
        <v>-6219.154102</v>
      </c>
      <c r="BP29" s="54">
        <f>-BP$18*Assumptions!$AD$30</f>
        <v>-6219.154102</v>
      </c>
      <c r="BQ29" s="54">
        <f>-BQ$18*Assumptions!$AD$30</f>
        <v>-6219.154102</v>
      </c>
      <c r="BR29" s="54">
        <f>-BR$18*Assumptions!$AD$30</f>
        <v>-6219.154102</v>
      </c>
      <c r="BS29" s="54">
        <f>-BS$18*Assumptions!$AD$30</f>
        <v>-6219.154102</v>
      </c>
      <c r="BT29" s="54">
        <f>-BT$18*Assumptions!$AD$30</f>
        <v>-6219.154102</v>
      </c>
      <c r="BU29" s="54">
        <f>-BU$18*Assumptions!$AD$30</f>
        <v>-6219.154102</v>
      </c>
      <c r="BV29" s="54">
        <f>-BV$18*Assumptions!$AD$30</f>
        <v>-6219.154102</v>
      </c>
      <c r="BW29" s="54">
        <f>-BW$18*Assumptions!$AD$30</f>
        <v>-6219.154102</v>
      </c>
      <c r="BX29" s="54">
        <f>-BX$18*Assumptions!$AD$30</f>
        <v>-6405.728725</v>
      </c>
      <c r="BY29" s="54">
        <f>-BY$18*Assumptions!$AD$30</f>
        <v>-6405.728725</v>
      </c>
      <c r="BZ29" s="54">
        <f>-BZ$18*Assumptions!$AD$30</f>
        <v>-6405.728725</v>
      </c>
      <c r="CA29" s="54">
        <f>-CA$18*Assumptions!$AD$30</f>
        <v>-6405.728725</v>
      </c>
      <c r="CB29" s="54">
        <f>-CB$18*Assumptions!$AD$30</f>
        <v>-6405.728725</v>
      </c>
      <c r="CC29" s="54">
        <f>-CC$18*Assumptions!$AD$30</f>
        <v>-6405.728725</v>
      </c>
      <c r="CD29" s="54">
        <f>-CD$18*Assumptions!$AD$30</f>
        <v>-6405.728725</v>
      </c>
      <c r="CE29" s="54">
        <f>-CE$18*Assumptions!$AD$30</f>
        <v>-6405.728725</v>
      </c>
      <c r="CF29" s="54">
        <f>-CF$18*Assumptions!$AD$30</f>
        <v>-6405.728725</v>
      </c>
      <c r="CG29" s="54">
        <f>-CG$18*Assumptions!$AD$30</f>
        <v>-6405.728725</v>
      </c>
      <c r="CH29" s="54">
        <f>-CH$18*Assumptions!$AD$30</f>
        <v>-6405.728725</v>
      </c>
      <c r="CI29" s="54">
        <f>-CI$18*Assumptions!$AD$30</f>
        <v>-6405.728725</v>
      </c>
      <c r="CJ29" s="54">
        <f>-CJ$18*Assumptions!$AD$30</f>
        <v>-6597.900587</v>
      </c>
      <c r="CK29" s="54">
        <f>-CK$18*Assumptions!$AD$30</f>
        <v>-6597.900587</v>
      </c>
      <c r="CL29" s="54">
        <f>-CL$18*Assumptions!$AD$30</f>
        <v>-6597.900587</v>
      </c>
      <c r="CM29" s="54">
        <f>-CM$18*Assumptions!$AD$30</f>
        <v>-6597.900587</v>
      </c>
      <c r="CN29" s="54">
        <f>-CN$18*Assumptions!$AD$30</f>
        <v>-6597.900587</v>
      </c>
      <c r="CO29" s="54">
        <f>-CO$18*Assumptions!$AD$30</f>
        <v>-6597.900587</v>
      </c>
      <c r="CP29" s="54">
        <f>-CP$18*Assumptions!$AD$30</f>
        <v>-6597.900587</v>
      </c>
      <c r="CQ29" s="54">
        <f>-CQ$18*Assumptions!$AD$30</f>
        <v>-6597.900587</v>
      </c>
      <c r="CR29" s="54">
        <f>-CR$18*Assumptions!$AD$30</f>
        <v>-6597.900587</v>
      </c>
      <c r="CS29" s="54">
        <f>-CS$18*Assumptions!$AD$30</f>
        <v>-6597.900587</v>
      </c>
      <c r="CT29" s="54">
        <f>-CT$18*Assumptions!$AD$30</f>
        <v>-6597.900587</v>
      </c>
      <c r="CU29" s="54">
        <f>-CU$18*Assumptions!$AD$30</f>
        <v>-6597.900587</v>
      </c>
      <c r="CV29" s="54">
        <f>-CV$18*Assumptions!$AD$30</f>
        <v>-6795.837605</v>
      </c>
      <c r="CW29" s="54">
        <f>-CW$18*Assumptions!$AD$30</f>
        <v>-6795.837605</v>
      </c>
      <c r="CX29" s="54">
        <f>-CX$18*Assumptions!$AD$30</f>
        <v>-6795.837605</v>
      </c>
      <c r="CY29" s="54">
        <f>-CY$18*Assumptions!$AD$30</f>
        <v>-6795.837605</v>
      </c>
      <c r="CZ29" s="54">
        <f>-CZ$18*Assumptions!$AD$30</f>
        <v>-6795.837605</v>
      </c>
      <c r="DA29" s="54">
        <f>-DA$18*Assumptions!$AD$30</f>
        <v>-6795.837605</v>
      </c>
      <c r="DB29" s="54">
        <f>-DB$18*Assumptions!$AD$30</f>
        <v>-6795.837605</v>
      </c>
      <c r="DC29" s="54">
        <f>-DC$18*Assumptions!$AD$30</f>
        <v>-6795.837605</v>
      </c>
      <c r="DD29" s="54">
        <f>-DD$18*Assumptions!$AD$30</f>
        <v>-6795.837605</v>
      </c>
      <c r="DE29" s="54">
        <f>-DE$18*Assumptions!$AD$30</f>
        <v>-6795.837605</v>
      </c>
      <c r="DF29" s="54">
        <f>-DF$18*Assumptions!$AD$30</f>
        <v>-6795.837605</v>
      </c>
      <c r="DG29" s="54">
        <f>-DG$18*Assumptions!$AD$30</f>
        <v>-6795.837605</v>
      </c>
      <c r="DH29" s="54">
        <f>-DH$18*Assumptions!$AD$30</f>
        <v>-6780.97171</v>
      </c>
      <c r="DI29" s="54">
        <f>-DI$18*Assumptions!$AD$30</f>
        <v>-6780.97171</v>
      </c>
      <c r="DJ29" s="54">
        <f>-DJ$18*Assumptions!$AD$30</f>
        <v>-6780.97171</v>
      </c>
      <c r="DK29" s="54">
        <f>-DK$18*Assumptions!$AD$30</f>
        <v>-6780.97171</v>
      </c>
      <c r="DL29" s="54">
        <f>-DL$18*Assumptions!$AD$30</f>
        <v>-6780.97171</v>
      </c>
      <c r="DM29" s="54">
        <f>-DM$18*Assumptions!$AD$30</f>
        <v>-6780.97171</v>
      </c>
      <c r="DN29" s="54">
        <f>-DN$18*Assumptions!$AD$30</f>
        <v>-6780.97171</v>
      </c>
      <c r="DO29" s="54">
        <f>-DO$18*Assumptions!$AD$30</f>
        <v>-6780.97171</v>
      </c>
      <c r="DP29" s="54">
        <f>-DP$18*Assumptions!$AD$30</f>
        <v>-6780.97171</v>
      </c>
      <c r="DQ29" s="54">
        <f>-DQ$18*Assumptions!$AD$30</f>
        <v>-6780.97171</v>
      </c>
      <c r="DR29" s="54">
        <f>-DR$18*Assumptions!$AD$30</f>
        <v>-6780.97171</v>
      </c>
      <c r="DS29" s="54">
        <f>-DS$18*Assumptions!$AD$30</f>
        <v>-6780.97171</v>
      </c>
      <c r="DT29" s="54">
        <f>-DT$18*Assumptions!$AD$30</f>
        <v>-7209.704115</v>
      </c>
      <c r="DU29" s="54">
        <f>-DU$18*Assumptions!$AD$30</f>
        <v>-7209.704115</v>
      </c>
      <c r="DV29" s="54">
        <f>-DV$18*Assumptions!$AD$30</f>
        <v>-7209.704115</v>
      </c>
      <c r="DW29" s="54">
        <f>-DW$18*Assumptions!$AD$30</f>
        <v>-7209.704115</v>
      </c>
      <c r="DX29" s="54">
        <f>-DX$18*Assumptions!$AD$30</f>
        <v>-7209.704115</v>
      </c>
      <c r="DY29" s="54">
        <f>-DY$18*Assumptions!$AD$30</f>
        <v>-7209.704115</v>
      </c>
      <c r="DZ29" s="54">
        <f>-DZ$18*Assumptions!$AD$30</f>
        <v>-7209.704115</v>
      </c>
      <c r="EA29" s="54">
        <f>-EA$18*Assumptions!$AD$30</f>
        <v>-7209.704115</v>
      </c>
      <c r="EB29" s="54">
        <f>-EB$18*Assumptions!$AD$30</f>
        <v>-7209.704115</v>
      </c>
      <c r="EC29" s="54">
        <f>-EC$18*Assumptions!$AD$30</f>
        <v>-7209.704115</v>
      </c>
      <c r="ED29" s="54">
        <f>-ED$18*Assumptions!$AD$30</f>
        <v>-7209.704115</v>
      </c>
      <c r="EE29" s="54">
        <f>-EE$18*Assumptions!$AD$30</f>
        <v>-7209.704115</v>
      </c>
    </row>
    <row r="30" ht="15.75" customHeight="1">
      <c r="A30" s="1"/>
      <c r="B30" s="1"/>
      <c r="C30" s="1" t="str">
        <f>Assumptions!J31</f>
        <v>Contract Services</v>
      </c>
      <c r="D30" s="54">
        <f t="array" ref="D30">-(IF(D$2=1,Assumptions!$AF31/12,-(SUMIF($D$2:$EE$2,D$2-1,$D30:$EE30)/12)*(1+XLOOKUP(D$2,Assumptions!$C$94:$M$94,Assumptions!$C$98:$M$98))))</f>
        <v>-2530.566658</v>
      </c>
      <c r="E30" s="54">
        <f t="array" ref="E30">-(IF(E$2=1,Assumptions!$AF31/12,-(SUMIF($D$2:$EE$2,E$2-1,$D30:$EE30)/12)*(1+XLOOKUP(E$2,Assumptions!$C$94:$M$94,Assumptions!$C$98:$M$98))))</f>
        <v>-2530.566658</v>
      </c>
      <c r="F30" s="54">
        <f t="array" ref="F30">-(IF(F$2=1,Assumptions!$AF31/12,-(SUMIF($D$2:$EE$2,F$2-1,$D30:$EE30)/12)*(1+XLOOKUP(F$2,Assumptions!$C$94:$M$94,Assumptions!$C$98:$M$98))))</f>
        <v>-2530.566658</v>
      </c>
      <c r="G30" s="54">
        <f t="array" ref="G30">-(IF(G$2=1,Assumptions!$AF31/12,-(SUMIF($D$2:$EE$2,G$2-1,$D30:$EE30)/12)*(1+XLOOKUP(G$2,Assumptions!$C$94:$M$94,Assumptions!$C$98:$M$98))))</f>
        <v>-2530.566658</v>
      </c>
      <c r="H30" s="54">
        <f t="array" ref="H30">-(IF(H$2=1,Assumptions!$AF31/12,-(SUMIF($D$2:$EE$2,H$2-1,$D30:$EE30)/12)*(1+XLOOKUP(H$2,Assumptions!$C$94:$M$94,Assumptions!$C$98:$M$98))))</f>
        <v>-2530.566658</v>
      </c>
      <c r="I30" s="54">
        <f t="array" ref="I30">-(IF(I$2=1,Assumptions!$AF31/12,-(SUMIF($D$2:$EE$2,I$2-1,$D30:$EE30)/12)*(1+XLOOKUP(I$2,Assumptions!$C$94:$M$94,Assumptions!$C$98:$M$98))))</f>
        <v>-2530.566658</v>
      </c>
      <c r="J30" s="54">
        <f t="array" ref="J30">-(IF(J$2=1,Assumptions!$AF31/12,-(SUMIF($D$2:$EE$2,J$2-1,$D30:$EE30)/12)*(1+XLOOKUP(J$2,Assumptions!$C$94:$M$94,Assumptions!$C$98:$M$98))))</f>
        <v>-2530.566658</v>
      </c>
      <c r="K30" s="54">
        <f t="array" ref="K30">-(IF(K$2=1,Assumptions!$AF31/12,-(SUMIF($D$2:$EE$2,K$2-1,$D30:$EE30)/12)*(1+XLOOKUP(K$2,Assumptions!$C$94:$M$94,Assumptions!$C$98:$M$98))))</f>
        <v>-2530.566658</v>
      </c>
      <c r="L30" s="54">
        <f t="array" ref="L30">-(IF(L$2=1,Assumptions!$AF31/12,-(SUMIF($D$2:$EE$2,L$2-1,$D30:$EE30)/12)*(1+XLOOKUP(L$2,Assumptions!$C$94:$M$94,Assumptions!$C$98:$M$98))))</f>
        <v>-2530.566658</v>
      </c>
      <c r="M30" s="54">
        <f t="array" ref="M30">-(IF(M$2=1,Assumptions!$AF31/12,-(SUMIF($D$2:$EE$2,M$2-1,$D30:$EE30)/12)*(1+XLOOKUP(M$2,Assumptions!$C$94:$M$94,Assumptions!$C$98:$M$98))))</f>
        <v>-2530.566658</v>
      </c>
      <c r="N30" s="54">
        <f t="array" ref="N30">-(IF(N$2=1,Assumptions!$AF31/12,-(SUMIF($D$2:$EE$2,N$2-1,$D30:$EE30)/12)*(1+XLOOKUP(N$2,Assumptions!$C$94:$M$94,Assumptions!$C$98:$M$98))))</f>
        <v>-2530.566658</v>
      </c>
      <c r="O30" s="54">
        <f t="array" ref="O30">-(IF(O$2=1,Assumptions!$AF31/12,-(SUMIF($D$2:$EE$2,O$2-1,$D30:$EE30)/12)*(1+XLOOKUP(O$2,Assumptions!$C$94:$M$94,Assumptions!$C$98:$M$98))))</f>
        <v>-2530.566658</v>
      </c>
      <c r="P30" s="54">
        <f t="array" ref="P30">-(IF(P$2=1,Assumptions!$AF31/12,-(SUMIF($D$2:$EE$2,P$2-1,$D30:$EE30)/12)*(1+XLOOKUP(P$2,Assumptions!$C$94:$M$94,Assumptions!$C$98:$M$98))))</f>
        <v>-2606.483658</v>
      </c>
      <c r="Q30" s="54">
        <f t="array" ref="Q30">-(IF(Q$2=1,Assumptions!$AF31/12,-(SUMIF($D$2:$EE$2,Q$2-1,$D30:$EE30)/12)*(1+XLOOKUP(Q$2,Assumptions!$C$94:$M$94,Assumptions!$C$98:$M$98))))</f>
        <v>-2606.483658</v>
      </c>
      <c r="R30" s="54">
        <f t="array" ref="R30">-(IF(R$2=1,Assumptions!$AF31/12,-(SUMIF($D$2:$EE$2,R$2-1,$D30:$EE30)/12)*(1+XLOOKUP(R$2,Assumptions!$C$94:$M$94,Assumptions!$C$98:$M$98))))</f>
        <v>-2606.483658</v>
      </c>
      <c r="S30" s="54">
        <f t="array" ref="S30">-(IF(S$2=1,Assumptions!$AF31/12,-(SUMIF($D$2:$EE$2,S$2-1,$D30:$EE30)/12)*(1+XLOOKUP(S$2,Assumptions!$C$94:$M$94,Assumptions!$C$98:$M$98))))</f>
        <v>-2606.483658</v>
      </c>
      <c r="T30" s="54">
        <f t="array" ref="T30">-(IF(T$2=1,Assumptions!$AF31/12,-(SUMIF($D$2:$EE$2,T$2-1,$D30:$EE30)/12)*(1+XLOOKUP(T$2,Assumptions!$C$94:$M$94,Assumptions!$C$98:$M$98))))</f>
        <v>-2606.483658</v>
      </c>
      <c r="U30" s="54">
        <f t="array" ref="U30">-(IF(U$2=1,Assumptions!$AF31/12,-(SUMIF($D$2:$EE$2,U$2-1,$D30:$EE30)/12)*(1+XLOOKUP(U$2,Assumptions!$C$94:$M$94,Assumptions!$C$98:$M$98))))</f>
        <v>-2606.483658</v>
      </c>
      <c r="V30" s="54">
        <f t="array" ref="V30">-(IF(V$2=1,Assumptions!$AF31/12,-(SUMIF($D$2:$EE$2,V$2-1,$D30:$EE30)/12)*(1+XLOOKUP(V$2,Assumptions!$C$94:$M$94,Assumptions!$C$98:$M$98))))</f>
        <v>-2606.483658</v>
      </c>
      <c r="W30" s="54">
        <f t="array" ref="W30">-(IF(W$2=1,Assumptions!$AF31/12,-(SUMIF($D$2:$EE$2,W$2-1,$D30:$EE30)/12)*(1+XLOOKUP(W$2,Assumptions!$C$94:$M$94,Assumptions!$C$98:$M$98))))</f>
        <v>-2606.483658</v>
      </c>
      <c r="X30" s="54">
        <f t="array" ref="X30">-(IF(X$2=1,Assumptions!$AF31/12,-(SUMIF($D$2:$EE$2,X$2-1,$D30:$EE30)/12)*(1+XLOOKUP(X$2,Assumptions!$C$94:$M$94,Assumptions!$C$98:$M$98))))</f>
        <v>-2606.483658</v>
      </c>
      <c r="Y30" s="54">
        <f t="array" ref="Y30">-(IF(Y$2=1,Assumptions!$AF31/12,-(SUMIF($D$2:$EE$2,Y$2-1,$D30:$EE30)/12)*(1+XLOOKUP(Y$2,Assumptions!$C$94:$M$94,Assumptions!$C$98:$M$98))))</f>
        <v>-2606.483658</v>
      </c>
      <c r="Z30" s="54">
        <f t="array" ref="Z30">-(IF(Z$2=1,Assumptions!$AF31/12,-(SUMIF($D$2:$EE$2,Z$2-1,$D30:$EE30)/12)*(1+XLOOKUP(Z$2,Assumptions!$C$94:$M$94,Assumptions!$C$98:$M$98))))</f>
        <v>-2606.483658</v>
      </c>
      <c r="AA30" s="54">
        <f t="array" ref="AA30">-(IF(AA$2=1,Assumptions!$AF31/12,-(SUMIF($D$2:$EE$2,AA$2-1,$D30:$EE30)/12)*(1+XLOOKUP(AA$2,Assumptions!$C$94:$M$94,Assumptions!$C$98:$M$98))))</f>
        <v>-2606.483658</v>
      </c>
      <c r="AB30" s="54">
        <f t="array" ref="AB30">-(IF(AB$2=1,Assumptions!$AF31/12,-(SUMIF($D$2:$EE$2,AB$2-1,$D30:$EE30)/12)*(1+XLOOKUP(AB$2,Assumptions!$C$94:$M$94,Assumptions!$C$98:$M$98))))</f>
        <v>-2684.678168</v>
      </c>
      <c r="AC30" s="54">
        <f t="array" ref="AC30">-(IF(AC$2=1,Assumptions!$AF31/12,-(SUMIF($D$2:$EE$2,AC$2-1,$D30:$EE30)/12)*(1+XLOOKUP(AC$2,Assumptions!$C$94:$M$94,Assumptions!$C$98:$M$98))))</f>
        <v>-2684.678168</v>
      </c>
      <c r="AD30" s="54">
        <f t="array" ref="AD30">-(IF(AD$2=1,Assumptions!$AF31/12,-(SUMIF($D$2:$EE$2,AD$2-1,$D30:$EE30)/12)*(1+XLOOKUP(AD$2,Assumptions!$C$94:$M$94,Assumptions!$C$98:$M$98))))</f>
        <v>-2684.678168</v>
      </c>
      <c r="AE30" s="54">
        <f t="array" ref="AE30">-(IF(AE$2=1,Assumptions!$AF31/12,-(SUMIF($D$2:$EE$2,AE$2-1,$D30:$EE30)/12)*(1+XLOOKUP(AE$2,Assumptions!$C$94:$M$94,Assumptions!$C$98:$M$98))))</f>
        <v>-2684.678168</v>
      </c>
      <c r="AF30" s="54">
        <f t="array" ref="AF30">-(IF(AF$2=1,Assumptions!$AF31/12,-(SUMIF($D$2:$EE$2,AF$2-1,$D30:$EE30)/12)*(1+XLOOKUP(AF$2,Assumptions!$C$94:$M$94,Assumptions!$C$98:$M$98))))</f>
        <v>-2684.678168</v>
      </c>
      <c r="AG30" s="54">
        <f t="array" ref="AG30">-(IF(AG$2=1,Assumptions!$AF31/12,-(SUMIF($D$2:$EE$2,AG$2-1,$D30:$EE30)/12)*(1+XLOOKUP(AG$2,Assumptions!$C$94:$M$94,Assumptions!$C$98:$M$98))))</f>
        <v>-2684.678168</v>
      </c>
      <c r="AH30" s="54">
        <f t="array" ref="AH30">-(IF(AH$2=1,Assumptions!$AF31/12,-(SUMIF($D$2:$EE$2,AH$2-1,$D30:$EE30)/12)*(1+XLOOKUP(AH$2,Assumptions!$C$94:$M$94,Assumptions!$C$98:$M$98))))</f>
        <v>-2684.678168</v>
      </c>
      <c r="AI30" s="54">
        <f t="array" ref="AI30">-(IF(AI$2=1,Assumptions!$AF31/12,-(SUMIF($D$2:$EE$2,AI$2-1,$D30:$EE30)/12)*(1+XLOOKUP(AI$2,Assumptions!$C$94:$M$94,Assumptions!$C$98:$M$98))))</f>
        <v>-2684.678168</v>
      </c>
      <c r="AJ30" s="54">
        <f t="array" ref="AJ30">-(IF(AJ$2=1,Assumptions!$AF31/12,-(SUMIF($D$2:$EE$2,AJ$2-1,$D30:$EE30)/12)*(1+XLOOKUP(AJ$2,Assumptions!$C$94:$M$94,Assumptions!$C$98:$M$98))))</f>
        <v>-2684.678168</v>
      </c>
      <c r="AK30" s="54">
        <f t="array" ref="AK30">-(IF(AK$2=1,Assumptions!$AF31/12,-(SUMIF($D$2:$EE$2,AK$2-1,$D30:$EE30)/12)*(1+XLOOKUP(AK$2,Assumptions!$C$94:$M$94,Assumptions!$C$98:$M$98))))</f>
        <v>-2684.678168</v>
      </c>
      <c r="AL30" s="54">
        <f t="array" ref="AL30">-(IF(AL$2=1,Assumptions!$AF31/12,-(SUMIF($D$2:$EE$2,AL$2-1,$D30:$EE30)/12)*(1+XLOOKUP(AL$2,Assumptions!$C$94:$M$94,Assumptions!$C$98:$M$98))))</f>
        <v>-2684.678168</v>
      </c>
      <c r="AM30" s="54">
        <f t="array" ref="AM30">-(IF(AM$2=1,Assumptions!$AF31/12,-(SUMIF($D$2:$EE$2,AM$2-1,$D30:$EE30)/12)*(1+XLOOKUP(AM$2,Assumptions!$C$94:$M$94,Assumptions!$C$98:$M$98))))</f>
        <v>-2684.678168</v>
      </c>
      <c r="AN30" s="54">
        <f t="array" ref="AN30">-(IF(AN$2=1,Assumptions!$AF31/12,-(SUMIF($D$2:$EE$2,AN$2-1,$D30:$EE30)/12)*(1+XLOOKUP(AN$2,Assumptions!$C$94:$M$94,Assumptions!$C$98:$M$98))))</f>
        <v>-2765.218513</v>
      </c>
      <c r="AO30" s="54">
        <f t="array" ref="AO30">-(IF(AO$2=1,Assumptions!$AF31/12,-(SUMIF($D$2:$EE$2,AO$2-1,$D30:$EE30)/12)*(1+XLOOKUP(AO$2,Assumptions!$C$94:$M$94,Assumptions!$C$98:$M$98))))</f>
        <v>-2765.218513</v>
      </c>
      <c r="AP30" s="54">
        <f t="array" ref="AP30">-(IF(AP$2=1,Assumptions!$AF31/12,-(SUMIF($D$2:$EE$2,AP$2-1,$D30:$EE30)/12)*(1+XLOOKUP(AP$2,Assumptions!$C$94:$M$94,Assumptions!$C$98:$M$98))))</f>
        <v>-2765.218513</v>
      </c>
      <c r="AQ30" s="54">
        <f t="array" ref="AQ30">-(IF(AQ$2=1,Assumptions!$AF31/12,-(SUMIF($D$2:$EE$2,AQ$2-1,$D30:$EE30)/12)*(1+XLOOKUP(AQ$2,Assumptions!$C$94:$M$94,Assumptions!$C$98:$M$98))))</f>
        <v>-2765.218513</v>
      </c>
      <c r="AR30" s="54">
        <f t="array" ref="AR30">-(IF(AR$2=1,Assumptions!$AF31/12,-(SUMIF($D$2:$EE$2,AR$2-1,$D30:$EE30)/12)*(1+XLOOKUP(AR$2,Assumptions!$C$94:$M$94,Assumptions!$C$98:$M$98))))</f>
        <v>-2765.218513</v>
      </c>
      <c r="AS30" s="54">
        <f t="array" ref="AS30">-(IF(AS$2=1,Assumptions!$AF31/12,-(SUMIF($D$2:$EE$2,AS$2-1,$D30:$EE30)/12)*(1+XLOOKUP(AS$2,Assumptions!$C$94:$M$94,Assumptions!$C$98:$M$98))))</f>
        <v>-2765.218513</v>
      </c>
      <c r="AT30" s="54">
        <f t="array" ref="AT30">-(IF(AT$2=1,Assumptions!$AF31/12,-(SUMIF($D$2:$EE$2,AT$2-1,$D30:$EE30)/12)*(1+XLOOKUP(AT$2,Assumptions!$C$94:$M$94,Assumptions!$C$98:$M$98))))</f>
        <v>-2765.218513</v>
      </c>
      <c r="AU30" s="54">
        <f t="array" ref="AU30">-(IF(AU$2=1,Assumptions!$AF31/12,-(SUMIF($D$2:$EE$2,AU$2-1,$D30:$EE30)/12)*(1+XLOOKUP(AU$2,Assumptions!$C$94:$M$94,Assumptions!$C$98:$M$98))))</f>
        <v>-2765.218513</v>
      </c>
      <c r="AV30" s="54">
        <f t="array" ref="AV30">-(IF(AV$2=1,Assumptions!$AF31/12,-(SUMIF($D$2:$EE$2,AV$2-1,$D30:$EE30)/12)*(1+XLOOKUP(AV$2,Assumptions!$C$94:$M$94,Assumptions!$C$98:$M$98))))</f>
        <v>-2765.218513</v>
      </c>
      <c r="AW30" s="54">
        <f t="array" ref="AW30">-(IF(AW$2=1,Assumptions!$AF31/12,-(SUMIF($D$2:$EE$2,AW$2-1,$D30:$EE30)/12)*(1+XLOOKUP(AW$2,Assumptions!$C$94:$M$94,Assumptions!$C$98:$M$98))))</f>
        <v>-2765.218513</v>
      </c>
      <c r="AX30" s="54">
        <f t="array" ref="AX30">-(IF(AX$2=1,Assumptions!$AF31/12,-(SUMIF($D$2:$EE$2,AX$2-1,$D30:$EE30)/12)*(1+XLOOKUP(AX$2,Assumptions!$C$94:$M$94,Assumptions!$C$98:$M$98))))</f>
        <v>-2765.218513</v>
      </c>
      <c r="AY30" s="54">
        <f t="array" ref="AY30">-(IF(AY$2=1,Assumptions!$AF31/12,-(SUMIF($D$2:$EE$2,AY$2-1,$D30:$EE30)/12)*(1+XLOOKUP(AY$2,Assumptions!$C$94:$M$94,Assumptions!$C$98:$M$98))))</f>
        <v>-2765.218513</v>
      </c>
      <c r="AZ30" s="54">
        <f t="array" ref="AZ30">-(IF(AZ$2=1,Assumptions!$AF31/12,-(SUMIF($D$2:$EE$2,AZ$2-1,$D30:$EE30)/12)*(1+XLOOKUP(AZ$2,Assumptions!$C$94:$M$94,Assumptions!$C$98:$M$98))))</f>
        <v>-2848.175068</v>
      </c>
      <c r="BA30" s="54">
        <f t="array" ref="BA30">-(IF(BA$2=1,Assumptions!$AF31/12,-(SUMIF($D$2:$EE$2,BA$2-1,$D30:$EE30)/12)*(1+XLOOKUP(BA$2,Assumptions!$C$94:$M$94,Assumptions!$C$98:$M$98))))</f>
        <v>-2848.175068</v>
      </c>
      <c r="BB30" s="54">
        <f t="array" ref="BB30">-(IF(BB$2=1,Assumptions!$AF31/12,-(SUMIF($D$2:$EE$2,BB$2-1,$D30:$EE30)/12)*(1+XLOOKUP(BB$2,Assumptions!$C$94:$M$94,Assumptions!$C$98:$M$98))))</f>
        <v>-2848.175068</v>
      </c>
      <c r="BC30" s="54">
        <f t="array" ref="BC30">-(IF(BC$2=1,Assumptions!$AF31/12,-(SUMIF($D$2:$EE$2,BC$2-1,$D30:$EE30)/12)*(1+XLOOKUP(BC$2,Assumptions!$C$94:$M$94,Assumptions!$C$98:$M$98))))</f>
        <v>-2848.175068</v>
      </c>
      <c r="BD30" s="54">
        <f t="array" ref="BD30">-(IF(BD$2=1,Assumptions!$AF31/12,-(SUMIF($D$2:$EE$2,BD$2-1,$D30:$EE30)/12)*(1+XLOOKUP(BD$2,Assumptions!$C$94:$M$94,Assumptions!$C$98:$M$98))))</f>
        <v>-2848.175068</v>
      </c>
      <c r="BE30" s="54">
        <f t="array" ref="BE30">-(IF(BE$2=1,Assumptions!$AF31/12,-(SUMIF($D$2:$EE$2,BE$2-1,$D30:$EE30)/12)*(1+XLOOKUP(BE$2,Assumptions!$C$94:$M$94,Assumptions!$C$98:$M$98))))</f>
        <v>-2848.175068</v>
      </c>
      <c r="BF30" s="54">
        <f t="array" ref="BF30">-(IF(BF$2=1,Assumptions!$AF31/12,-(SUMIF($D$2:$EE$2,BF$2-1,$D30:$EE30)/12)*(1+XLOOKUP(BF$2,Assumptions!$C$94:$M$94,Assumptions!$C$98:$M$98))))</f>
        <v>-2848.175068</v>
      </c>
      <c r="BG30" s="54">
        <f t="array" ref="BG30">-(IF(BG$2=1,Assumptions!$AF31/12,-(SUMIF($D$2:$EE$2,BG$2-1,$D30:$EE30)/12)*(1+XLOOKUP(BG$2,Assumptions!$C$94:$M$94,Assumptions!$C$98:$M$98))))</f>
        <v>-2848.175068</v>
      </c>
      <c r="BH30" s="54">
        <f t="array" ref="BH30">-(IF(BH$2=1,Assumptions!$AF31/12,-(SUMIF($D$2:$EE$2,BH$2-1,$D30:$EE30)/12)*(1+XLOOKUP(BH$2,Assumptions!$C$94:$M$94,Assumptions!$C$98:$M$98))))</f>
        <v>-2848.175068</v>
      </c>
      <c r="BI30" s="54">
        <f t="array" ref="BI30">-(IF(BI$2=1,Assumptions!$AF31/12,-(SUMIF($D$2:$EE$2,BI$2-1,$D30:$EE30)/12)*(1+XLOOKUP(BI$2,Assumptions!$C$94:$M$94,Assumptions!$C$98:$M$98))))</f>
        <v>-2848.175068</v>
      </c>
      <c r="BJ30" s="54">
        <f t="array" ref="BJ30">-(IF(BJ$2=1,Assumptions!$AF31/12,-(SUMIF($D$2:$EE$2,BJ$2-1,$D30:$EE30)/12)*(1+XLOOKUP(BJ$2,Assumptions!$C$94:$M$94,Assumptions!$C$98:$M$98))))</f>
        <v>-2848.175068</v>
      </c>
      <c r="BK30" s="54">
        <f t="array" ref="BK30">-(IF(BK$2=1,Assumptions!$AF31/12,-(SUMIF($D$2:$EE$2,BK$2-1,$D30:$EE30)/12)*(1+XLOOKUP(BK$2,Assumptions!$C$94:$M$94,Assumptions!$C$98:$M$98))))</f>
        <v>-2848.175068</v>
      </c>
      <c r="BL30" s="54">
        <f t="array" ref="BL30">-(IF(BL$2=1,Assumptions!$AF31/12,-(SUMIF($D$2:$EE$2,BL$2-1,$D30:$EE30)/12)*(1+XLOOKUP(BL$2,Assumptions!$C$94:$M$94,Assumptions!$C$98:$M$98))))</f>
        <v>-2933.62032</v>
      </c>
      <c r="BM30" s="54">
        <f t="array" ref="BM30">-(IF(BM$2=1,Assumptions!$AF31/12,-(SUMIF($D$2:$EE$2,BM$2-1,$D30:$EE30)/12)*(1+XLOOKUP(BM$2,Assumptions!$C$94:$M$94,Assumptions!$C$98:$M$98))))</f>
        <v>-2933.62032</v>
      </c>
      <c r="BN30" s="54">
        <f t="array" ref="BN30">-(IF(BN$2=1,Assumptions!$AF31/12,-(SUMIF($D$2:$EE$2,BN$2-1,$D30:$EE30)/12)*(1+XLOOKUP(BN$2,Assumptions!$C$94:$M$94,Assumptions!$C$98:$M$98))))</f>
        <v>-2933.62032</v>
      </c>
      <c r="BO30" s="54">
        <f t="array" ref="BO30">-(IF(BO$2=1,Assumptions!$AF31/12,-(SUMIF($D$2:$EE$2,BO$2-1,$D30:$EE30)/12)*(1+XLOOKUP(BO$2,Assumptions!$C$94:$M$94,Assumptions!$C$98:$M$98))))</f>
        <v>-2933.62032</v>
      </c>
      <c r="BP30" s="54">
        <f t="array" ref="BP30">-(IF(BP$2=1,Assumptions!$AF31/12,-(SUMIF($D$2:$EE$2,BP$2-1,$D30:$EE30)/12)*(1+XLOOKUP(BP$2,Assumptions!$C$94:$M$94,Assumptions!$C$98:$M$98))))</f>
        <v>-2933.62032</v>
      </c>
      <c r="BQ30" s="54">
        <f t="array" ref="BQ30">-(IF(BQ$2=1,Assumptions!$AF31/12,-(SUMIF($D$2:$EE$2,BQ$2-1,$D30:$EE30)/12)*(1+XLOOKUP(BQ$2,Assumptions!$C$94:$M$94,Assumptions!$C$98:$M$98))))</f>
        <v>-2933.62032</v>
      </c>
      <c r="BR30" s="54">
        <f t="array" ref="BR30">-(IF(BR$2=1,Assumptions!$AF31/12,-(SUMIF($D$2:$EE$2,BR$2-1,$D30:$EE30)/12)*(1+XLOOKUP(BR$2,Assumptions!$C$94:$M$94,Assumptions!$C$98:$M$98))))</f>
        <v>-2933.62032</v>
      </c>
      <c r="BS30" s="54">
        <f t="array" ref="BS30">-(IF(BS$2=1,Assumptions!$AF31/12,-(SUMIF($D$2:$EE$2,BS$2-1,$D30:$EE30)/12)*(1+XLOOKUP(BS$2,Assumptions!$C$94:$M$94,Assumptions!$C$98:$M$98))))</f>
        <v>-2933.62032</v>
      </c>
      <c r="BT30" s="54">
        <f t="array" ref="BT30">-(IF(BT$2=1,Assumptions!$AF31/12,-(SUMIF($D$2:$EE$2,BT$2-1,$D30:$EE30)/12)*(1+XLOOKUP(BT$2,Assumptions!$C$94:$M$94,Assumptions!$C$98:$M$98))))</f>
        <v>-2933.62032</v>
      </c>
      <c r="BU30" s="54">
        <f t="array" ref="BU30">-(IF(BU$2=1,Assumptions!$AF31/12,-(SUMIF($D$2:$EE$2,BU$2-1,$D30:$EE30)/12)*(1+XLOOKUP(BU$2,Assumptions!$C$94:$M$94,Assumptions!$C$98:$M$98))))</f>
        <v>-2933.62032</v>
      </c>
      <c r="BV30" s="54">
        <f t="array" ref="BV30">-(IF(BV$2=1,Assumptions!$AF31/12,-(SUMIF($D$2:$EE$2,BV$2-1,$D30:$EE30)/12)*(1+XLOOKUP(BV$2,Assumptions!$C$94:$M$94,Assumptions!$C$98:$M$98))))</f>
        <v>-2933.62032</v>
      </c>
      <c r="BW30" s="54">
        <f t="array" ref="BW30">-(IF(BW$2=1,Assumptions!$AF31/12,-(SUMIF($D$2:$EE$2,BW$2-1,$D30:$EE30)/12)*(1+XLOOKUP(BW$2,Assumptions!$C$94:$M$94,Assumptions!$C$98:$M$98))))</f>
        <v>-2933.62032</v>
      </c>
      <c r="BX30" s="54">
        <f t="array" ref="BX30">-(IF(BX$2=1,Assumptions!$AF31/12,-(SUMIF($D$2:$EE$2,BX$2-1,$D30:$EE30)/12)*(1+XLOOKUP(BX$2,Assumptions!$C$94:$M$94,Assumptions!$C$98:$M$98))))</f>
        <v>-3021.62893</v>
      </c>
      <c r="BY30" s="54">
        <f t="array" ref="BY30">-(IF(BY$2=1,Assumptions!$AF31/12,-(SUMIF($D$2:$EE$2,BY$2-1,$D30:$EE30)/12)*(1+XLOOKUP(BY$2,Assumptions!$C$94:$M$94,Assumptions!$C$98:$M$98))))</f>
        <v>-3021.62893</v>
      </c>
      <c r="BZ30" s="54">
        <f t="array" ref="BZ30">-(IF(BZ$2=1,Assumptions!$AF31/12,-(SUMIF($D$2:$EE$2,BZ$2-1,$D30:$EE30)/12)*(1+XLOOKUP(BZ$2,Assumptions!$C$94:$M$94,Assumptions!$C$98:$M$98))))</f>
        <v>-3021.62893</v>
      </c>
      <c r="CA30" s="54">
        <f t="array" ref="CA30">-(IF(CA$2=1,Assumptions!$AF31/12,-(SUMIF($D$2:$EE$2,CA$2-1,$D30:$EE30)/12)*(1+XLOOKUP(CA$2,Assumptions!$C$94:$M$94,Assumptions!$C$98:$M$98))))</f>
        <v>-3021.62893</v>
      </c>
      <c r="CB30" s="54">
        <f t="array" ref="CB30">-(IF(CB$2=1,Assumptions!$AF31/12,-(SUMIF($D$2:$EE$2,CB$2-1,$D30:$EE30)/12)*(1+XLOOKUP(CB$2,Assumptions!$C$94:$M$94,Assumptions!$C$98:$M$98))))</f>
        <v>-3021.62893</v>
      </c>
      <c r="CC30" s="54">
        <f t="array" ref="CC30">-(IF(CC$2=1,Assumptions!$AF31/12,-(SUMIF($D$2:$EE$2,CC$2-1,$D30:$EE30)/12)*(1+XLOOKUP(CC$2,Assumptions!$C$94:$M$94,Assumptions!$C$98:$M$98))))</f>
        <v>-3021.62893</v>
      </c>
      <c r="CD30" s="54">
        <f t="array" ref="CD30">-(IF(CD$2=1,Assumptions!$AF31/12,-(SUMIF($D$2:$EE$2,CD$2-1,$D30:$EE30)/12)*(1+XLOOKUP(CD$2,Assumptions!$C$94:$M$94,Assumptions!$C$98:$M$98))))</f>
        <v>-3021.62893</v>
      </c>
      <c r="CE30" s="54">
        <f t="array" ref="CE30">-(IF(CE$2=1,Assumptions!$AF31/12,-(SUMIF($D$2:$EE$2,CE$2-1,$D30:$EE30)/12)*(1+XLOOKUP(CE$2,Assumptions!$C$94:$M$94,Assumptions!$C$98:$M$98))))</f>
        <v>-3021.62893</v>
      </c>
      <c r="CF30" s="54">
        <f t="array" ref="CF30">-(IF(CF$2=1,Assumptions!$AF31/12,-(SUMIF($D$2:$EE$2,CF$2-1,$D30:$EE30)/12)*(1+XLOOKUP(CF$2,Assumptions!$C$94:$M$94,Assumptions!$C$98:$M$98))))</f>
        <v>-3021.62893</v>
      </c>
      <c r="CG30" s="54">
        <f t="array" ref="CG30">-(IF(CG$2=1,Assumptions!$AF31/12,-(SUMIF($D$2:$EE$2,CG$2-1,$D30:$EE30)/12)*(1+XLOOKUP(CG$2,Assumptions!$C$94:$M$94,Assumptions!$C$98:$M$98))))</f>
        <v>-3021.62893</v>
      </c>
      <c r="CH30" s="54">
        <f t="array" ref="CH30">-(IF(CH$2=1,Assumptions!$AF31/12,-(SUMIF($D$2:$EE$2,CH$2-1,$D30:$EE30)/12)*(1+XLOOKUP(CH$2,Assumptions!$C$94:$M$94,Assumptions!$C$98:$M$98))))</f>
        <v>-3021.62893</v>
      </c>
      <c r="CI30" s="54">
        <f t="array" ref="CI30">-(IF(CI$2=1,Assumptions!$AF31/12,-(SUMIF($D$2:$EE$2,CI$2-1,$D30:$EE30)/12)*(1+XLOOKUP(CI$2,Assumptions!$C$94:$M$94,Assumptions!$C$98:$M$98))))</f>
        <v>-3021.62893</v>
      </c>
      <c r="CJ30" s="54">
        <f t="array" ref="CJ30">-(IF(CJ$2=1,Assumptions!$AF31/12,-(SUMIF($D$2:$EE$2,CJ$2-1,$D30:$EE30)/12)*(1+XLOOKUP(CJ$2,Assumptions!$C$94:$M$94,Assumptions!$C$98:$M$98))))</f>
        <v>-3112.277798</v>
      </c>
      <c r="CK30" s="54">
        <f t="array" ref="CK30">-(IF(CK$2=1,Assumptions!$AF31/12,-(SUMIF($D$2:$EE$2,CK$2-1,$D30:$EE30)/12)*(1+XLOOKUP(CK$2,Assumptions!$C$94:$M$94,Assumptions!$C$98:$M$98))))</f>
        <v>-3112.277798</v>
      </c>
      <c r="CL30" s="54">
        <f t="array" ref="CL30">-(IF(CL$2=1,Assumptions!$AF31/12,-(SUMIF($D$2:$EE$2,CL$2-1,$D30:$EE30)/12)*(1+XLOOKUP(CL$2,Assumptions!$C$94:$M$94,Assumptions!$C$98:$M$98))))</f>
        <v>-3112.277798</v>
      </c>
      <c r="CM30" s="54">
        <f t="array" ref="CM30">-(IF(CM$2=1,Assumptions!$AF31/12,-(SUMIF($D$2:$EE$2,CM$2-1,$D30:$EE30)/12)*(1+XLOOKUP(CM$2,Assumptions!$C$94:$M$94,Assumptions!$C$98:$M$98))))</f>
        <v>-3112.277798</v>
      </c>
      <c r="CN30" s="54">
        <f t="array" ref="CN30">-(IF(CN$2=1,Assumptions!$AF31/12,-(SUMIF($D$2:$EE$2,CN$2-1,$D30:$EE30)/12)*(1+XLOOKUP(CN$2,Assumptions!$C$94:$M$94,Assumptions!$C$98:$M$98))))</f>
        <v>-3112.277798</v>
      </c>
      <c r="CO30" s="54">
        <f t="array" ref="CO30">-(IF(CO$2=1,Assumptions!$AF31/12,-(SUMIF($D$2:$EE$2,CO$2-1,$D30:$EE30)/12)*(1+XLOOKUP(CO$2,Assumptions!$C$94:$M$94,Assumptions!$C$98:$M$98))))</f>
        <v>-3112.277798</v>
      </c>
      <c r="CP30" s="54">
        <f t="array" ref="CP30">-(IF(CP$2=1,Assumptions!$AF31/12,-(SUMIF($D$2:$EE$2,CP$2-1,$D30:$EE30)/12)*(1+XLOOKUP(CP$2,Assumptions!$C$94:$M$94,Assumptions!$C$98:$M$98))))</f>
        <v>-3112.277798</v>
      </c>
      <c r="CQ30" s="54">
        <f t="array" ref="CQ30">-(IF(CQ$2=1,Assumptions!$AF31/12,-(SUMIF($D$2:$EE$2,CQ$2-1,$D30:$EE30)/12)*(1+XLOOKUP(CQ$2,Assumptions!$C$94:$M$94,Assumptions!$C$98:$M$98))))</f>
        <v>-3112.277798</v>
      </c>
      <c r="CR30" s="54">
        <f t="array" ref="CR30">-(IF(CR$2=1,Assumptions!$AF31/12,-(SUMIF($D$2:$EE$2,CR$2-1,$D30:$EE30)/12)*(1+XLOOKUP(CR$2,Assumptions!$C$94:$M$94,Assumptions!$C$98:$M$98))))</f>
        <v>-3112.277798</v>
      </c>
      <c r="CS30" s="54">
        <f t="array" ref="CS30">-(IF(CS$2=1,Assumptions!$AF31/12,-(SUMIF($D$2:$EE$2,CS$2-1,$D30:$EE30)/12)*(1+XLOOKUP(CS$2,Assumptions!$C$94:$M$94,Assumptions!$C$98:$M$98))))</f>
        <v>-3112.277798</v>
      </c>
      <c r="CT30" s="54">
        <f t="array" ref="CT30">-(IF(CT$2=1,Assumptions!$AF31/12,-(SUMIF($D$2:$EE$2,CT$2-1,$D30:$EE30)/12)*(1+XLOOKUP(CT$2,Assumptions!$C$94:$M$94,Assumptions!$C$98:$M$98))))</f>
        <v>-3112.277798</v>
      </c>
      <c r="CU30" s="54">
        <f t="array" ref="CU30">-(IF(CU$2=1,Assumptions!$AF31/12,-(SUMIF($D$2:$EE$2,CU$2-1,$D30:$EE30)/12)*(1+XLOOKUP(CU$2,Assumptions!$C$94:$M$94,Assumptions!$C$98:$M$98))))</f>
        <v>-3112.277798</v>
      </c>
      <c r="CV30" s="54">
        <f t="array" ref="CV30">-(IF(CV$2=1,Assumptions!$AF31/12,-(SUMIF($D$2:$EE$2,CV$2-1,$D30:$EE30)/12)*(1+XLOOKUP(CV$2,Assumptions!$C$94:$M$94,Assumptions!$C$98:$M$98))))</f>
        <v>-3205.646132</v>
      </c>
      <c r="CW30" s="54">
        <f t="array" ref="CW30">-(IF(CW$2=1,Assumptions!$AF31/12,-(SUMIF($D$2:$EE$2,CW$2-1,$D30:$EE30)/12)*(1+XLOOKUP(CW$2,Assumptions!$C$94:$M$94,Assumptions!$C$98:$M$98))))</f>
        <v>-3205.646132</v>
      </c>
      <c r="CX30" s="54">
        <f t="array" ref="CX30">-(IF(CX$2=1,Assumptions!$AF31/12,-(SUMIF($D$2:$EE$2,CX$2-1,$D30:$EE30)/12)*(1+XLOOKUP(CX$2,Assumptions!$C$94:$M$94,Assumptions!$C$98:$M$98))))</f>
        <v>-3205.646132</v>
      </c>
      <c r="CY30" s="54">
        <f t="array" ref="CY30">-(IF(CY$2=1,Assumptions!$AF31/12,-(SUMIF($D$2:$EE$2,CY$2-1,$D30:$EE30)/12)*(1+XLOOKUP(CY$2,Assumptions!$C$94:$M$94,Assumptions!$C$98:$M$98))))</f>
        <v>-3205.646132</v>
      </c>
      <c r="CZ30" s="54">
        <f t="array" ref="CZ30">-(IF(CZ$2=1,Assumptions!$AF31/12,-(SUMIF($D$2:$EE$2,CZ$2-1,$D30:$EE30)/12)*(1+XLOOKUP(CZ$2,Assumptions!$C$94:$M$94,Assumptions!$C$98:$M$98))))</f>
        <v>-3205.646132</v>
      </c>
      <c r="DA30" s="54">
        <f t="array" ref="DA30">-(IF(DA$2=1,Assumptions!$AF31/12,-(SUMIF($D$2:$EE$2,DA$2-1,$D30:$EE30)/12)*(1+XLOOKUP(DA$2,Assumptions!$C$94:$M$94,Assumptions!$C$98:$M$98))))</f>
        <v>-3205.646132</v>
      </c>
      <c r="DB30" s="54">
        <f t="array" ref="DB30">-(IF(DB$2=1,Assumptions!$AF31/12,-(SUMIF($D$2:$EE$2,DB$2-1,$D30:$EE30)/12)*(1+XLOOKUP(DB$2,Assumptions!$C$94:$M$94,Assumptions!$C$98:$M$98))))</f>
        <v>-3205.646132</v>
      </c>
      <c r="DC30" s="54">
        <f t="array" ref="DC30">-(IF(DC$2=1,Assumptions!$AF31/12,-(SUMIF($D$2:$EE$2,DC$2-1,$D30:$EE30)/12)*(1+XLOOKUP(DC$2,Assumptions!$C$94:$M$94,Assumptions!$C$98:$M$98))))</f>
        <v>-3205.646132</v>
      </c>
      <c r="DD30" s="54">
        <f t="array" ref="DD30">-(IF(DD$2=1,Assumptions!$AF31/12,-(SUMIF($D$2:$EE$2,DD$2-1,$D30:$EE30)/12)*(1+XLOOKUP(DD$2,Assumptions!$C$94:$M$94,Assumptions!$C$98:$M$98))))</f>
        <v>-3205.646132</v>
      </c>
      <c r="DE30" s="54">
        <f t="array" ref="DE30">-(IF(DE$2=1,Assumptions!$AF31/12,-(SUMIF($D$2:$EE$2,DE$2-1,$D30:$EE30)/12)*(1+XLOOKUP(DE$2,Assumptions!$C$94:$M$94,Assumptions!$C$98:$M$98))))</f>
        <v>-3205.646132</v>
      </c>
      <c r="DF30" s="54">
        <f t="array" ref="DF30">-(IF(DF$2=1,Assumptions!$AF31/12,-(SUMIF($D$2:$EE$2,DF$2-1,$D30:$EE30)/12)*(1+XLOOKUP(DF$2,Assumptions!$C$94:$M$94,Assumptions!$C$98:$M$98))))</f>
        <v>-3205.646132</v>
      </c>
      <c r="DG30" s="54">
        <f t="array" ref="DG30">-(IF(DG$2=1,Assumptions!$AF31/12,-(SUMIF($D$2:$EE$2,DG$2-1,$D30:$EE30)/12)*(1+XLOOKUP(DG$2,Assumptions!$C$94:$M$94,Assumptions!$C$98:$M$98))))</f>
        <v>-3205.646132</v>
      </c>
      <c r="DH30" s="54">
        <f t="array" ref="DH30">-(IF(DH$2=1,Assumptions!$AF31/12,-(SUMIF($D$2:$EE$2,DH$2-1,$D30:$EE30)/12)*(1+XLOOKUP(DH$2,Assumptions!$C$94:$M$94,Assumptions!$C$98:$M$98))))</f>
        <v>-3301.815516</v>
      </c>
      <c r="DI30" s="54">
        <f t="array" ref="DI30">-(IF(DI$2=1,Assumptions!$AF31/12,-(SUMIF($D$2:$EE$2,DI$2-1,$D30:$EE30)/12)*(1+XLOOKUP(DI$2,Assumptions!$C$94:$M$94,Assumptions!$C$98:$M$98))))</f>
        <v>-3301.815516</v>
      </c>
      <c r="DJ30" s="54">
        <f t="array" ref="DJ30">-(IF(DJ$2=1,Assumptions!$AF31/12,-(SUMIF($D$2:$EE$2,DJ$2-1,$D30:$EE30)/12)*(1+XLOOKUP(DJ$2,Assumptions!$C$94:$M$94,Assumptions!$C$98:$M$98))))</f>
        <v>-3301.815516</v>
      </c>
      <c r="DK30" s="54">
        <f t="array" ref="DK30">-(IF(DK$2=1,Assumptions!$AF31/12,-(SUMIF($D$2:$EE$2,DK$2-1,$D30:$EE30)/12)*(1+XLOOKUP(DK$2,Assumptions!$C$94:$M$94,Assumptions!$C$98:$M$98))))</f>
        <v>-3301.815516</v>
      </c>
      <c r="DL30" s="54">
        <f t="array" ref="DL30">-(IF(DL$2=1,Assumptions!$AF31/12,-(SUMIF($D$2:$EE$2,DL$2-1,$D30:$EE30)/12)*(1+XLOOKUP(DL$2,Assumptions!$C$94:$M$94,Assumptions!$C$98:$M$98))))</f>
        <v>-3301.815516</v>
      </c>
      <c r="DM30" s="54">
        <f t="array" ref="DM30">-(IF(DM$2=1,Assumptions!$AF31/12,-(SUMIF($D$2:$EE$2,DM$2-1,$D30:$EE30)/12)*(1+XLOOKUP(DM$2,Assumptions!$C$94:$M$94,Assumptions!$C$98:$M$98))))</f>
        <v>-3301.815516</v>
      </c>
      <c r="DN30" s="54">
        <f t="array" ref="DN30">-(IF(DN$2=1,Assumptions!$AF31/12,-(SUMIF($D$2:$EE$2,DN$2-1,$D30:$EE30)/12)*(1+XLOOKUP(DN$2,Assumptions!$C$94:$M$94,Assumptions!$C$98:$M$98))))</f>
        <v>-3301.815516</v>
      </c>
      <c r="DO30" s="54">
        <f t="array" ref="DO30">-(IF(DO$2=1,Assumptions!$AF31/12,-(SUMIF($D$2:$EE$2,DO$2-1,$D30:$EE30)/12)*(1+XLOOKUP(DO$2,Assumptions!$C$94:$M$94,Assumptions!$C$98:$M$98))))</f>
        <v>-3301.815516</v>
      </c>
      <c r="DP30" s="54">
        <f t="array" ref="DP30">-(IF(DP$2=1,Assumptions!$AF31/12,-(SUMIF($D$2:$EE$2,DP$2-1,$D30:$EE30)/12)*(1+XLOOKUP(DP$2,Assumptions!$C$94:$M$94,Assumptions!$C$98:$M$98))))</f>
        <v>-3301.815516</v>
      </c>
      <c r="DQ30" s="54">
        <f t="array" ref="DQ30">-(IF(DQ$2=1,Assumptions!$AF31/12,-(SUMIF($D$2:$EE$2,DQ$2-1,$D30:$EE30)/12)*(1+XLOOKUP(DQ$2,Assumptions!$C$94:$M$94,Assumptions!$C$98:$M$98))))</f>
        <v>-3301.815516</v>
      </c>
      <c r="DR30" s="54">
        <f t="array" ref="DR30">-(IF(DR$2=1,Assumptions!$AF31/12,-(SUMIF($D$2:$EE$2,DR$2-1,$D30:$EE30)/12)*(1+XLOOKUP(DR$2,Assumptions!$C$94:$M$94,Assumptions!$C$98:$M$98))))</f>
        <v>-3301.815516</v>
      </c>
      <c r="DS30" s="54">
        <f t="array" ref="DS30">-(IF(DS$2=1,Assumptions!$AF31/12,-(SUMIF($D$2:$EE$2,DS$2-1,$D30:$EE30)/12)*(1+XLOOKUP(DS$2,Assumptions!$C$94:$M$94,Assumptions!$C$98:$M$98))))</f>
        <v>-3301.815516</v>
      </c>
      <c r="DT30" s="54">
        <f t="array" ref="DT30">-(IF(DT$2=1,Assumptions!$AF31/12,-(SUMIF($D$2:$EE$2,DT$2-1,$D30:$EE30)/12)*(1+XLOOKUP(DT$2,Assumptions!$C$94:$M$94,Assumptions!$C$98:$M$98))))</f>
        <v>-3400.869981</v>
      </c>
      <c r="DU30" s="54">
        <f t="array" ref="DU30">-(IF(DU$2=1,Assumptions!$AF31/12,-(SUMIF($D$2:$EE$2,DU$2-1,$D30:$EE30)/12)*(1+XLOOKUP(DU$2,Assumptions!$C$94:$M$94,Assumptions!$C$98:$M$98))))</f>
        <v>-3400.869981</v>
      </c>
      <c r="DV30" s="54">
        <f t="array" ref="DV30">-(IF(DV$2=1,Assumptions!$AF31/12,-(SUMIF($D$2:$EE$2,DV$2-1,$D30:$EE30)/12)*(1+XLOOKUP(DV$2,Assumptions!$C$94:$M$94,Assumptions!$C$98:$M$98))))</f>
        <v>-3400.869981</v>
      </c>
      <c r="DW30" s="54">
        <f t="array" ref="DW30">-(IF(DW$2=1,Assumptions!$AF31/12,-(SUMIF($D$2:$EE$2,DW$2-1,$D30:$EE30)/12)*(1+XLOOKUP(DW$2,Assumptions!$C$94:$M$94,Assumptions!$C$98:$M$98))))</f>
        <v>-3400.869981</v>
      </c>
      <c r="DX30" s="54">
        <f t="array" ref="DX30">-(IF(DX$2=1,Assumptions!$AF31/12,-(SUMIF($D$2:$EE$2,DX$2-1,$D30:$EE30)/12)*(1+XLOOKUP(DX$2,Assumptions!$C$94:$M$94,Assumptions!$C$98:$M$98))))</f>
        <v>-3400.869981</v>
      </c>
      <c r="DY30" s="54">
        <f t="array" ref="DY30">-(IF(DY$2=1,Assumptions!$AF31/12,-(SUMIF($D$2:$EE$2,DY$2-1,$D30:$EE30)/12)*(1+XLOOKUP(DY$2,Assumptions!$C$94:$M$94,Assumptions!$C$98:$M$98))))</f>
        <v>-3400.869981</v>
      </c>
      <c r="DZ30" s="54">
        <f t="array" ref="DZ30">-(IF(DZ$2=1,Assumptions!$AF31/12,-(SUMIF($D$2:$EE$2,DZ$2-1,$D30:$EE30)/12)*(1+XLOOKUP(DZ$2,Assumptions!$C$94:$M$94,Assumptions!$C$98:$M$98))))</f>
        <v>-3400.869981</v>
      </c>
      <c r="EA30" s="54">
        <f t="array" ref="EA30">-(IF(EA$2=1,Assumptions!$AF31/12,-(SUMIF($D$2:$EE$2,EA$2-1,$D30:$EE30)/12)*(1+XLOOKUP(EA$2,Assumptions!$C$94:$M$94,Assumptions!$C$98:$M$98))))</f>
        <v>-3400.869981</v>
      </c>
      <c r="EB30" s="54">
        <f t="array" ref="EB30">-(IF(EB$2=1,Assumptions!$AF31/12,-(SUMIF($D$2:$EE$2,EB$2-1,$D30:$EE30)/12)*(1+XLOOKUP(EB$2,Assumptions!$C$94:$M$94,Assumptions!$C$98:$M$98))))</f>
        <v>-3400.869981</v>
      </c>
      <c r="EC30" s="54">
        <f t="array" ref="EC30">-(IF(EC$2=1,Assumptions!$AF31/12,-(SUMIF($D$2:$EE$2,EC$2-1,$D30:$EE30)/12)*(1+XLOOKUP(EC$2,Assumptions!$C$94:$M$94,Assumptions!$C$98:$M$98))))</f>
        <v>-3400.869981</v>
      </c>
      <c r="ED30" s="54">
        <f t="array" ref="ED30">-(IF(ED$2=1,Assumptions!$AF31/12,-(SUMIF($D$2:$EE$2,ED$2-1,$D30:$EE30)/12)*(1+XLOOKUP(ED$2,Assumptions!$C$94:$M$94,Assumptions!$C$98:$M$98))))</f>
        <v>-3400.869981</v>
      </c>
      <c r="EE30" s="54">
        <f t="array" ref="EE30">-(IF(EE$2=1,Assumptions!$AF31/12,-(SUMIF($D$2:$EE$2,EE$2-1,$D30:$EE30)/12)*(1+XLOOKUP(EE$2,Assumptions!$C$94:$M$94,Assumptions!$C$98:$M$98))))</f>
        <v>-3400.869981</v>
      </c>
    </row>
    <row r="31" ht="15.75" customHeight="1">
      <c r="A31" s="1"/>
      <c r="B31" s="1"/>
      <c r="C31" s="1" t="str">
        <f>Assumptions!J32</f>
        <v>Repair &amp; Maintenance</v>
      </c>
      <c r="D31" s="54">
        <f t="array" ref="D31">-(IF(D$2=1,Assumptions!$AF32/12,-(SUMIF($D$2:$EE$2,D$2-1,$D31:$EE31)/12)*(1+XLOOKUP(D$2,Assumptions!$C$94:$M$94,Assumptions!$C$98:$M$98))))</f>
        <v>-2879.315217</v>
      </c>
      <c r="E31" s="54">
        <f t="array" ref="E31">-(IF(E$2=1,Assumptions!$AF32/12,-(SUMIF($D$2:$EE$2,E$2-1,$D31:$EE31)/12)*(1+XLOOKUP(E$2,Assumptions!$C$94:$M$94,Assumptions!$C$98:$M$98))))</f>
        <v>-2879.315217</v>
      </c>
      <c r="F31" s="54">
        <f t="array" ref="F31">-(IF(F$2=1,Assumptions!$AF32/12,-(SUMIF($D$2:$EE$2,F$2-1,$D31:$EE31)/12)*(1+XLOOKUP(F$2,Assumptions!$C$94:$M$94,Assumptions!$C$98:$M$98))))</f>
        <v>-2879.315217</v>
      </c>
      <c r="G31" s="54">
        <f t="array" ref="G31">-(IF(G$2=1,Assumptions!$AF32/12,-(SUMIF($D$2:$EE$2,G$2-1,$D31:$EE31)/12)*(1+XLOOKUP(G$2,Assumptions!$C$94:$M$94,Assumptions!$C$98:$M$98))))</f>
        <v>-2879.315217</v>
      </c>
      <c r="H31" s="54">
        <f t="array" ref="H31">-(IF(H$2=1,Assumptions!$AF32/12,-(SUMIF($D$2:$EE$2,H$2-1,$D31:$EE31)/12)*(1+XLOOKUP(H$2,Assumptions!$C$94:$M$94,Assumptions!$C$98:$M$98))))</f>
        <v>-2879.315217</v>
      </c>
      <c r="I31" s="54">
        <f t="array" ref="I31">-(IF(I$2=1,Assumptions!$AF32/12,-(SUMIF($D$2:$EE$2,I$2-1,$D31:$EE31)/12)*(1+XLOOKUP(I$2,Assumptions!$C$94:$M$94,Assumptions!$C$98:$M$98))))</f>
        <v>-2879.315217</v>
      </c>
      <c r="J31" s="54">
        <f t="array" ref="J31">-(IF(J$2=1,Assumptions!$AF32/12,-(SUMIF($D$2:$EE$2,J$2-1,$D31:$EE31)/12)*(1+XLOOKUP(J$2,Assumptions!$C$94:$M$94,Assumptions!$C$98:$M$98))))</f>
        <v>-2879.315217</v>
      </c>
      <c r="K31" s="54">
        <f t="array" ref="K31">-(IF(K$2=1,Assumptions!$AF32/12,-(SUMIF($D$2:$EE$2,K$2-1,$D31:$EE31)/12)*(1+XLOOKUP(K$2,Assumptions!$C$94:$M$94,Assumptions!$C$98:$M$98))))</f>
        <v>-2879.315217</v>
      </c>
      <c r="L31" s="54">
        <f t="array" ref="L31">-(IF(L$2=1,Assumptions!$AF32/12,-(SUMIF($D$2:$EE$2,L$2-1,$D31:$EE31)/12)*(1+XLOOKUP(L$2,Assumptions!$C$94:$M$94,Assumptions!$C$98:$M$98))))</f>
        <v>-2879.315217</v>
      </c>
      <c r="M31" s="54">
        <f t="array" ref="M31">-(IF(M$2=1,Assumptions!$AF32/12,-(SUMIF($D$2:$EE$2,M$2-1,$D31:$EE31)/12)*(1+XLOOKUP(M$2,Assumptions!$C$94:$M$94,Assumptions!$C$98:$M$98))))</f>
        <v>-2879.315217</v>
      </c>
      <c r="N31" s="54">
        <f t="array" ref="N31">-(IF(N$2=1,Assumptions!$AF32/12,-(SUMIF($D$2:$EE$2,N$2-1,$D31:$EE31)/12)*(1+XLOOKUP(N$2,Assumptions!$C$94:$M$94,Assumptions!$C$98:$M$98))))</f>
        <v>-2879.315217</v>
      </c>
      <c r="O31" s="54">
        <f t="array" ref="O31">-(IF(O$2=1,Assumptions!$AF32/12,-(SUMIF($D$2:$EE$2,O$2-1,$D31:$EE31)/12)*(1+XLOOKUP(O$2,Assumptions!$C$94:$M$94,Assumptions!$C$98:$M$98))))</f>
        <v>-2879.315217</v>
      </c>
      <c r="P31" s="54">
        <f t="array" ref="P31">-(IF(P$2=1,Assumptions!$AF32/12,-(SUMIF($D$2:$EE$2,P$2-1,$D31:$EE31)/12)*(1+XLOOKUP(P$2,Assumptions!$C$94:$M$94,Assumptions!$C$98:$M$98))))</f>
        <v>-2965.694673</v>
      </c>
      <c r="Q31" s="54">
        <f t="array" ref="Q31">-(IF(Q$2=1,Assumptions!$AF32/12,-(SUMIF($D$2:$EE$2,Q$2-1,$D31:$EE31)/12)*(1+XLOOKUP(Q$2,Assumptions!$C$94:$M$94,Assumptions!$C$98:$M$98))))</f>
        <v>-2965.694673</v>
      </c>
      <c r="R31" s="54">
        <f t="array" ref="R31">-(IF(R$2=1,Assumptions!$AF32/12,-(SUMIF($D$2:$EE$2,R$2-1,$D31:$EE31)/12)*(1+XLOOKUP(R$2,Assumptions!$C$94:$M$94,Assumptions!$C$98:$M$98))))</f>
        <v>-2965.694673</v>
      </c>
      <c r="S31" s="54">
        <f t="array" ref="S31">-(IF(S$2=1,Assumptions!$AF32/12,-(SUMIF($D$2:$EE$2,S$2-1,$D31:$EE31)/12)*(1+XLOOKUP(S$2,Assumptions!$C$94:$M$94,Assumptions!$C$98:$M$98))))</f>
        <v>-2965.694673</v>
      </c>
      <c r="T31" s="54">
        <f t="array" ref="T31">-(IF(T$2=1,Assumptions!$AF32/12,-(SUMIF($D$2:$EE$2,T$2-1,$D31:$EE31)/12)*(1+XLOOKUP(T$2,Assumptions!$C$94:$M$94,Assumptions!$C$98:$M$98))))</f>
        <v>-2965.694673</v>
      </c>
      <c r="U31" s="54">
        <f t="array" ref="U31">-(IF(U$2=1,Assumptions!$AF32/12,-(SUMIF($D$2:$EE$2,U$2-1,$D31:$EE31)/12)*(1+XLOOKUP(U$2,Assumptions!$C$94:$M$94,Assumptions!$C$98:$M$98))))</f>
        <v>-2965.694673</v>
      </c>
      <c r="V31" s="54">
        <f t="array" ref="V31">-(IF(V$2=1,Assumptions!$AF32/12,-(SUMIF($D$2:$EE$2,V$2-1,$D31:$EE31)/12)*(1+XLOOKUP(V$2,Assumptions!$C$94:$M$94,Assumptions!$C$98:$M$98))))</f>
        <v>-2965.694673</v>
      </c>
      <c r="W31" s="54">
        <f t="array" ref="W31">-(IF(W$2=1,Assumptions!$AF32/12,-(SUMIF($D$2:$EE$2,W$2-1,$D31:$EE31)/12)*(1+XLOOKUP(W$2,Assumptions!$C$94:$M$94,Assumptions!$C$98:$M$98))))</f>
        <v>-2965.694673</v>
      </c>
      <c r="X31" s="54">
        <f t="array" ref="X31">-(IF(X$2=1,Assumptions!$AF32/12,-(SUMIF($D$2:$EE$2,X$2-1,$D31:$EE31)/12)*(1+XLOOKUP(X$2,Assumptions!$C$94:$M$94,Assumptions!$C$98:$M$98))))</f>
        <v>-2965.694673</v>
      </c>
      <c r="Y31" s="54">
        <f t="array" ref="Y31">-(IF(Y$2=1,Assumptions!$AF32/12,-(SUMIF($D$2:$EE$2,Y$2-1,$D31:$EE31)/12)*(1+XLOOKUP(Y$2,Assumptions!$C$94:$M$94,Assumptions!$C$98:$M$98))))</f>
        <v>-2965.694673</v>
      </c>
      <c r="Z31" s="54">
        <f t="array" ref="Z31">-(IF(Z$2=1,Assumptions!$AF32/12,-(SUMIF($D$2:$EE$2,Z$2-1,$D31:$EE31)/12)*(1+XLOOKUP(Z$2,Assumptions!$C$94:$M$94,Assumptions!$C$98:$M$98))))</f>
        <v>-2965.694673</v>
      </c>
      <c r="AA31" s="54">
        <f t="array" ref="AA31">-(IF(AA$2=1,Assumptions!$AF32/12,-(SUMIF($D$2:$EE$2,AA$2-1,$D31:$EE31)/12)*(1+XLOOKUP(AA$2,Assumptions!$C$94:$M$94,Assumptions!$C$98:$M$98))))</f>
        <v>-2965.694673</v>
      </c>
      <c r="AB31" s="54">
        <f t="array" ref="AB31">-(IF(AB$2=1,Assumptions!$AF32/12,-(SUMIF($D$2:$EE$2,AB$2-1,$D31:$EE31)/12)*(1+XLOOKUP(AB$2,Assumptions!$C$94:$M$94,Assumptions!$C$98:$M$98))))</f>
        <v>-3054.665513</v>
      </c>
      <c r="AC31" s="54">
        <f t="array" ref="AC31">-(IF(AC$2=1,Assumptions!$AF32/12,-(SUMIF($D$2:$EE$2,AC$2-1,$D31:$EE31)/12)*(1+XLOOKUP(AC$2,Assumptions!$C$94:$M$94,Assumptions!$C$98:$M$98))))</f>
        <v>-3054.665513</v>
      </c>
      <c r="AD31" s="54">
        <f t="array" ref="AD31">-(IF(AD$2=1,Assumptions!$AF32/12,-(SUMIF($D$2:$EE$2,AD$2-1,$D31:$EE31)/12)*(1+XLOOKUP(AD$2,Assumptions!$C$94:$M$94,Assumptions!$C$98:$M$98))))</f>
        <v>-3054.665513</v>
      </c>
      <c r="AE31" s="54">
        <f t="array" ref="AE31">-(IF(AE$2=1,Assumptions!$AF32/12,-(SUMIF($D$2:$EE$2,AE$2-1,$D31:$EE31)/12)*(1+XLOOKUP(AE$2,Assumptions!$C$94:$M$94,Assumptions!$C$98:$M$98))))</f>
        <v>-3054.665513</v>
      </c>
      <c r="AF31" s="54">
        <f t="array" ref="AF31">-(IF(AF$2=1,Assumptions!$AF32/12,-(SUMIF($D$2:$EE$2,AF$2-1,$D31:$EE31)/12)*(1+XLOOKUP(AF$2,Assumptions!$C$94:$M$94,Assumptions!$C$98:$M$98))))</f>
        <v>-3054.665513</v>
      </c>
      <c r="AG31" s="54">
        <f t="array" ref="AG31">-(IF(AG$2=1,Assumptions!$AF32/12,-(SUMIF($D$2:$EE$2,AG$2-1,$D31:$EE31)/12)*(1+XLOOKUP(AG$2,Assumptions!$C$94:$M$94,Assumptions!$C$98:$M$98))))</f>
        <v>-3054.665513</v>
      </c>
      <c r="AH31" s="54">
        <f t="array" ref="AH31">-(IF(AH$2=1,Assumptions!$AF32/12,-(SUMIF($D$2:$EE$2,AH$2-1,$D31:$EE31)/12)*(1+XLOOKUP(AH$2,Assumptions!$C$94:$M$94,Assumptions!$C$98:$M$98))))</f>
        <v>-3054.665513</v>
      </c>
      <c r="AI31" s="54">
        <f t="array" ref="AI31">-(IF(AI$2=1,Assumptions!$AF32/12,-(SUMIF($D$2:$EE$2,AI$2-1,$D31:$EE31)/12)*(1+XLOOKUP(AI$2,Assumptions!$C$94:$M$94,Assumptions!$C$98:$M$98))))</f>
        <v>-3054.665513</v>
      </c>
      <c r="AJ31" s="54">
        <f t="array" ref="AJ31">-(IF(AJ$2=1,Assumptions!$AF32/12,-(SUMIF($D$2:$EE$2,AJ$2-1,$D31:$EE31)/12)*(1+XLOOKUP(AJ$2,Assumptions!$C$94:$M$94,Assumptions!$C$98:$M$98))))</f>
        <v>-3054.665513</v>
      </c>
      <c r="AK31" s="54">
        <f t="array" ref="AK31">-(IF(AK$2=1,Assumptions!$AF32/12,-(SUMIF($D$2:$EE$2,AK$2-1,$D31:$EE31)/12)*(1+XLOOKUP(AK$2,Assumptions!$C$94:$M$94,Assumptions!$C$98:$M$98))))</f>
        <v>-3054.665513</v>
      </c>
      <c r="AL31" s="54">
        <f t="array" ref="AL31">-(IF(AL$2=1,Assumptions!$AF32/12,-(SUMIF($D$2:$EE$2,AL$2-1,$D31:$EE31)/12)*(1+XLOOKUP(AL$2,Assumptions!$C$94:$M$94,Assumptions!$C$98:$M$98))))</f>
        <v>-3054.665513</v>
      </c>
      <c r="AM31" s="54">
        <f t="array" ref="AM31">-(IF(AM$2=1,Assumptions!$AF32/12,-(SUMIF($D$2:$EE$2,AM$2-1,$D31:$EE31)/12)*(1+XLOOKUP(AM$2,Assumptions!$C$94:$M$94,Assumptions!$C$98:$M$98))))</f>
        <v>-3054.665513</v>
      </c>
      <c r="AN31" s="54">
        <f t="array" ref="AN31">-(IF(AN$2=1,Assumptions!$AF32/12,-(SUMIF($D$2:$EE$2,AN$2-1,$D31:$EE31)/12)*(1+XLOOKUP(AN$2,Assumptions!$C$94:$M$94,Assumptions!$C$98:$M$98))))</f>
        <v>-3146.305479</v>
      </c>
      <c r="AO31" s="54">
        <f t="array" ref="AO31">-(IF(AO$2=1,Assumptions!$AF32/12,-(SUMIF($D$2:$EE$2,AO$2-1,$D31:$EE31)/12)*(1+XLOOKUP(AO$2,Assumptions!$C$94:$M$94,Assumptions!$C$98:$M$98))))</f>
        <v>-3146.305479</v>
      </c>
      <c r="AP31" s="54">
        <f t="array" ref="AP31">-(IF(AP$2=1,Assumptions!$AF32/12,-(SUMIF($D$2:$EE$2,AP$2-1,$D31:$EE31)/12)*(1+XLOOKUP(AP$2,Assumptions!$C$94:$M$94,Assumptions!$C$98:$M$98))))</f>
        <v>-3146.305479</v>
      </c>
      <c r="AQ31" s="54">
        <f t="array" ref="AQ31">-(IF(AQ$2=1,Assumptions!$AF32/12,-(SUMIF($D$2:$EE$2,AQ$2-1,$D31:$EE31)/12)*(1+XLOOKUP(AQ$2,Assumptions!$C$94:$M$94,Assumptions!$C$98:$M$98))))</f>
        <v>-3146.305479</v>
      </c>
      <c r="AR31" s="54">
        <f t="array" ref="AR31">-(IF(AR$2=1,Assumptions!$AF32/12,-(SUMIF($D$2:$EE$2,AR$2-1,$D31:$EE31)/12)*(1+XLOOKUP(AR$2,Assumptions!$C$94:$M$94,Assumptions!$C$98:$M$98))))</f>
        <v>-3146.305479</v>
      </c>
      <c r="AS31" s="54">
        <f t="array" ref="AS31">-(IF(AS$2=1,Assumptions!$AF32/12,-(SUMIF($D$2:$EE$2,AS$2-1,$D31:$EE31)/12)*(1+XLOOKUP(AS$2,Assumptions!$C$94:$M$94,Assumptions!$C$98:$M$98))))</f>
        <v>-3146.305479</v>
      </c>
      <c r="AT31" s="54">
        <f t="array" ref="AT31">-(IF(AT$2=1,Assumptions!$AF32/12,-(SUMIF($D$2:$EE$2,AT$2-1,$D31:$EE31)/12)*(1+XLOOKUP(AT$2,Assumptions!$C$94:$M$94,Assumptions!$C$98:$M$98))))</f>
        <v>-3146.305479</v>
      </c>
      <c r="AU31" s="54">
        <f t="array" ref="AU31">-(IF(AU$2=1,Assumptions!$AF32/12,-(SUMIF($D$2:$EE$2,AU$2-1,$D31:$EE31)/12)*(1+XLOOKUP(AU$2,Assumptions!$C$94:$M$94,Assumptions!$C$98:$M$98))))</f>
        <v>-3146.305479</v>
      </c>
      <c r="AV31" s="54">
        <f t="array" ref="AV31">-(IF(AV$2=1,Assumptions!$AF32/12,-(SUMIF($D$2:$EE$2,AV$2-1,$D31:$EE31)/12)*(1+XLOOKUP(AV$2,Assumptions!$C$94:$M$94,Assumptions!$C$98:$M$98))))</f>
        <v>-3146.305479</v>
      </c>
      <c r="AW31" s="54">
        <f t="array" ref="AW31">-(IF(AW$2=1,Assumptions!$AF32/12,-(SUMIF($D$2:$EE$2,AW$2-1,$D31:$EE31)/12)*(1+XLOOKUP(AW$2,Assumptions!$C$94:$M$94,Assumptions!$C$98:$M$98))))</f>
        <v>-3146.305479</v>
      </c>
      <c r="AX31" s="54">
        <f t="array" ref="AX31">-(IF(AX$2=1,Assumptions!$AF32/12,-(SUMIF($D$2:$EE$2,AX$2-1,$D31:$EE31)/12)*(1+XLOOKUP(AX$2,Assumptions!$C$94:$M$94,Assumptions!$C$98:$M$98))))</f>
        <v>-3146.305479</v>
      </c>
      <c r="AY31" s="54">
        <f t="array" ref="AY31">-(IF(AY$2=1,Assumptions!$AF32/12,-(SUMIF($D$2:$EE$2,AY$2-1,$D31:$EE31)/12)*(1+XLOOKUP(AY$2,Assumptions!$C$94:$M$94,Assumptions!$C$98:$M$98))))</f>
        <v>-3146.305479</v>
      </c>
      <c r="AZ31" s="54">
        <f t="array" ref="AZ31">-(IF(AZ$2=1,Assumptions!$AF32/12,-(SUMIF($D$2:$EE$2,AZ$2-1,$D31:$EE31)/12)*(1+XLOOKUP(AZ$2,Assumptions!$C$94:$M$94,Assumptions!$C$98:$M$98))))</f>
        <v>-3240.694643</v>
      </c>
      <c r="BA31" s="54">
        <f t="array" ref="BA31">-(IF(BA$2=1,Assumptions!$AF32/12,-(SUMIF($D$2:$EE$2,BA$2-1,$D31:$EE31)/12)*(1+XLOOKUP(BA$2,Assumptions!$C$94:$M$94,Assumptions!$C$98:$M$98))))</f>
        <v>-3240.694643</v>
      </c>
      <c r="BB31" s="54">
        <f t="array" ref="BB31">-(IF(BB$2=1,Assumptions!$AF32/12,-(SUMIF($D$2:$EE$2,BB$2-1,$D31:$EE31)/12)*(1+XLOOKUP(BB$2,Assumptions!$C$94:$M$94,Assumptions!$C$98:$M$98))))</f>
        <v>-3240.694643</v>
      </c>
      <c r="BC31" s="54">
        <f t="array" ref="BC31">-(IF(BC$2=1,Assumptions!$AF32/12,-(SUMIF($D$2:$EE$2,BC$2-1,$D31:$EE31)/12)*(1+XLOOKUP(BC$2,Assumptions!$C$94:$M$94,Assumptions!$C$98:$M$98))))</f>
        <v>-3240.694643</v>
      </c>
      <c r="BD31" s="54">
        <f t="array" ref="BD31">-(IF(BD$2=1,Assumptions!$AF32/12,-(SUMIF($D$2:$EE$2,BD$2-1,$D31:$EE31)/12)*(1+XLOOKUP(BD$2,Assumptions!$C$94:$M$94,Assumptions!$C$98:$M$98))))</f>
        <v>-3240.694643</v>
      </c>
      <c r="BE31" s="54">
        <f t="array" ref="BE31">-(IF(BE$2=1,Assumptions!$AF32/12,-(SUMIF($D$2:$EE$2,BE$2-1,$D31:$EE31)/12)*(1+XLOOKUP(BE$2,Assumptions!$C$94:$M$94,Assumptions!$C$98:$M$98))))</f>
        <v>-3240.694643</v>
      </c>
      <c r="BF31" s="54">
        <f t="array" ref="BF31">-(IF(BF$2=1,Assumptions!$AF32/12,-(SUMIF($D$2:$EE$2,BF$2-1,$D31:$EE31)/12)*(1+XLOOKUP(BF$2,Assumptions!$C$94:$M$94,Assumptions!$C$98:$M$98))))</f>
        <v>-3240.694643</v>
      </c>
      <c r="BG31" s="54">
        <f t="array" ref="BG31">-(IF(BG$2=1,Assumptions!$AF32/12,-(SUMIF($D$2:$EE$2,BG$2-1,$D31:$EE31)/12)*(1+XLOOKUP(BG$2,Assumptions!$C$94:$M$94,Assumptions!$C$98:$M$98))))</f>
        <v>-3240.694643</v>
      </c>
      <c r="BH31" s="54">
        <f t="array" ref="BH31">-(IF(BH$2=1,Assumptions!$AF32/12,-(SUMIF($D$2:$EE$2,BH$2-1,$D31:$EE31)/12)*(1+XLOOKUP(BH$2,Assumptions!$C$94:$M$94,Assumptions!$C$98:$M$98))))</f>
        <v>-3240.694643</v>
      </c>
      <c r="BI31" s="54">
        <f t="array" ref="BI31">-(IF(BI$2=1,Assumptions!$AF32/12,-(SUMIF($D$2:$EE$2,BI$2-1,$D31:$EE31)/12)*(1+XLOOKUP(BI$2,Assumptions!$C$94:$M$94,Assumptions!$C$98:$M$98))))</f>
        <v>-3240.694643</v>
      </c>
      <c r="BJ31" s="54">
        <f t="array" ref="BJ31">-(IF(BJ$2=1,Assumptions!$AF32/12,-(SUMIF($D$2:$EE$2,BJ$2-1,$D31:$EE31)/12)*(1+XLOOKUP(BJ$2,Assumptions!$C$94:$M$94,Assumptions!$C$98:$M$98))))</f>
        <v>-3240.694643</v>
      </c>
      <c r="BK31" s="54">
        <f t="array" ref="BK31">-(IF(BK$2=1,Assumptions!$AF32/12,-(SUMIF($D$2:$EE$2,BK$2-1,$D31:$EE31)/12)*(1+XLOOKUP(BK$2,Assumptions!$C$94:$M$94,Assumptions!$C$98:$M$98))))</f>
        <v>-3240.694643</v>
      </c>
      <c r="BL31" s="54">
        <f t="array" ref="BL31">-(IF(BL$2=1,Assumptions!$AF32/12,-(SUMIF($D$2:$EE$2,BL$2-1,$D31:$EE31)/12)*(1+XLOOKUP(BL$2,Assumptions!$C$94:$M$94,Assumptions!$C$98:$M$98))))</f>
        <v>-3337.915482</v>
      </c>
      <c r="BM31" s="54">
        <f t="array" ref="BM31">-(IF(BM$2=1,Assumptions!$AF32/12,-(SUMIF($D$2:$EE$2,BM$2-1,$D31:$EE31)/12)*(1+XLOOKUP(BM$2,Assumptions!$C$94:$M$94,Assumptions!$C$98:$M$98))))</f>
        <v>-3337.915482</v>
      </c>
      <c r="BN31" s="54">
        <f t="array" ref="BN31">-(IF(BN$2=1,Assumptions!$AF32/12,-(SUMIF($D$2:$EE$2,BN$2-1,$D31:$EE31)/12)*(1+XLOOKUP(BN$2,Assumptions!$C$94:$M$94,Assumptions!$C$98:$M$98))))</f>
        <v>-3337.915482</v>
      </c>
      <c r="BO31" s="54">
        <f t="array" ref="BO31">-(IF(BO$2=1,Assumptions!$AF32/12,-(SUMIF($D$2:$EE$2,BO$2-1,$D31:$EE31)/12)*(1+XLOOKUP(BO$2,Assumptions!$C$94:$M$94,Assumptions!$C$98:$M$98))))</f>
        <v>-3337.915482</v>
      </c>
      <c r="BP31" s="54">
        <f t="array" ref="BP31">-(IF(BP$2=1,Assumptions!$AF32/12,-(SUMIF($D$2:$EE$2,BP$2-1,$D31:$EE31)/12)*(1+XLOOKUP(BP$2,Assumptions!$C$94:$M$94,Assumptions!$C$98:$M$98))))</f>
        <v>-3337.915482</v>
      </c>
      <c r="BQ31" s="54">
        <f t="array" ref="BQ31">-(IF(BQ$2=1,Assumptions!$AF32/12,-(SUMIF($D$2:$EE$2,BQ$2-1,$D31:$EE31)/12)*(1+XLOOKUP(BQ$2,Assumptions!$C$94:$M$94,Assumptions!$C$98:$M$98))))</f>
        <v>-3337.915482</v>
      </c>
      <c r="BR31" s="54">
        <f t="array" ref="BR31">-(IF(BR$2=1,Assumptions!$AF32/12,-(SUMIF($D$2:$EE$2,BR$2-1,$D31:$EE31)/12)*(1+XLOOKUP(BR$2,Assumptions!$C$94:$M$94,Assumptions!$C$98:$M$98))))</f>
        <v>-3337.915482</v>
      </c>
      <c r="BS31" s="54">
        <f t="array" ref="BS31">-(IF(BS$2=1,Assumptions!$AF32/12,-(SUMIF($D$2:$EE$2,BS$2-1,$D31:$EE31)/12)*(1+XLOOKUP(BS$2,Assumptions!$C$94:$M$94,Assumptions!$C$98:$M$98))))</f>
        <v>-3337.915482</v>
      </c>
      <c r="BT31" s="54">
        <f t="array" ref="BT31">-(IF(BT$2=1,Assumptions!$AF32/12,-(SUMIF($D$2:$EE$2,BT$2-1,$D31:$EE31)/12)*(1+XLOOKUP(BT$2,Assumptions!$C$94:$M$94,Assumptions!$C$98:$M$98))))</f>
        <v>-3337.915482</v>
      </c>
      <c r="BU31" s="54">
        <f t="array" ref="BU31">-(IF(BU$2=1,Assumptions!$AF32/12,-(SUMIF($D$2:$EE$2,BU$2-1,$D31:$EE31)/12)*(1+XLOOKUP(BU$2,Assumptions!$C$94:$M$94,Assumptions!$C$98:$M$98))))</f>
        <v>-3337.915482</v>
      </c>
      <c r="BV31" s="54">
        <f t="array" ref="BV31">-(IF(BV$2=1,Assumptions!$AF32/12,-(SUMIF($D$2:$EE$2,BV$2-1,$D31:$EE31)/12)*(1+XLOOKUP(BV$2,Assumptions!$C$94:$M$94,Assumptions!$C$98:$M$98))))</f>
        <v>-3337.915482</v>
      </c>
      <c r="BW31" s="54">
        <f t="array" ref="BW31">-(IF(BW$2=1,Assumptions!$AF32/12,-(SUMIF($D$2:$EE$2,BW$2-1,$D31:$EE31)/12)*(1+XLOOKUP(BW$2,Assumptions!$C$94:$M$94,Assumptions!$C$98:$M$98))))</f>
        <v>-3337.915482</v>
      </c>
      <c r="BX31" s="54">
        <f t="array" ref="BX31">-(IF(BX$2=1,Assumptions!$AF32/12,-(SUMIF($D$2:$EE$2,BX$2-1,$D31:$EE31)/12)*(1+XLOOKUP(BX$2,Assumptions!$C$94:$M$94,Assumptions!$C$98:$M$98))))</f>
        <v>-3438.052947</v>
      </c>
      <c r="BY31" s="54">
        <f t="array" ref="BY31">-(IF(BY$2=1,Assumptions!$AF32/12,-(SUMIF($D$2:$EE$2,BY$2-1,$D31:$EE31)/12)*(1+XLOOKUP(BY$2,Assumptions!$C$94:$M$94,Assumptions!$C$98:$M$98))))</f>
        <v>-3438.052947</v>
      </c>
      <c r="BZ31" s="54">
        <f t="array" ref="BZ31">-(IF(BZ$2=1,Assumptions!$AF32/12,-(SUMIF($D$2:$EE$2,BZ$2-1,$D31:$EE31)/12)*(1+XLOOKUP(BZ$2,Assumptions!$C$94:$M$94,Assumptions!$C$98:$M$98))))</f>
        <v>-3438.052947</v>
      </c>
      <c r="CA31" s="54">
        <f t="array" ref="CA31">-(IF(CA$2=1,Assumptions!$AF32/12,-(SUMIF($D$2:$EE$2,CA$2-1,$D31:$EE31)/12)*(1+XLOOKUP(CA$2,Assumptions!$C$94:$M$94,Assumptions!$C$98:$M$98))))</f>
        <v>-3438.052947</v>
      </c>
      <c r="CB31" s="54">
        <f t="array" ref="CB31">-(IF(CB$2=1,Assumptions!$AF32/12,-(SUMIF($D$2:$EE$2,CB$2-1,$D31:$EE31)/12)*(1+XLOOKUP(CB$2,Assumptions!$C$94:$M$94,Assumptions!$C$98:$M$98))))</f>
        <v>-3438.052947</v>
      </c>
      <c r="CC31" s="54">
        <f t="array" ref="CC31">-(IF(CC$2=1,Assumptions!$AF32/12,-(SUMIF($D$2:$EE$2,CC$2-1,$D31:$EE31)/12)*(1+XLOOKUP(CC$2,Assumptions!$C$94:$M$94,Assumptions!$C$98:$M$98))))</f>
        <v>-3438.052947</v>
      </c>
      <c r="CD31" s="54">
        <f t="array" ref="CD31">-(IF(CD$2=1,Assumptions!$AF32/12,-(SUMIF($D$2:$EE$2,CD$2-1,$D31:$EE31)/12)*(1+XLOOKUP(CD$2,Assumptions!$C$94:$M$94,Assumptions!$C$98:$M$98))))</f>
        <v>-3438.052947</v>
      </c>
      <c r="CE31" s="54">
        <f t="array" ref="CE31">-(IF(CE$2=1,Assumptions!$AF32/12,-(SUMIF($D$2:$EE$2,CE$2-1,$D31:$EE31)/12)*(1+XLOOKUP(CE$2,Assumptions!$C$94:$M$94,Assumptions!$C$98:$M$98))))</f>
        <v>-3438.052947</v>
      </c>
      <c r="CF31" s="54">
        <f t="array" ref="CF31">-(IF(CF$2=1,Assumptions!$AF32/12,-(SUMIF($D$2:$EE$2,CF$2-1,$D31:$EE31)/12)*(1+XLOOKUP(CF$2,Assumptions!$C$94:$M$94,Assumptions!$C$98:$M$98))))</f>
        <v>-3438.052947</v>
      </c>
      <c r="CG31" s="54">
        <f t="array" ref="CG31">-(IF(CG$2=1,Assumptions!$AF32/12,-(SUMIF($D$2:$EE$2,CG$2-1,$D31:$EE31)/12)*(1+XLOOKUP(CG$2,Assumptions!$C$94:$M$94,Assumptions!$C$98:$M$98))))</f>
        <v>-3438.052947</v>
      </c>
      <c r="CH31" s="54">
        <f t="array" ref="CH31">-(IF(CH$2=1,Assumptions!$AF32/12,-(SUMIF($D$2:$EE$2,CH$2-1,$D31:$EE31)/12)*(1+XLOOKUP(CH$2,Assumptions!$C$94:$M$94,Assumptions!$C$98:$M$98))))</f>
        <v>-3438.052947</v>
      </c>
      <c r="CI31" s="54">
        <f t="array" ref="CI31">-(IF(CI$2=1,Assumptions!$AF32/12,-(SUMIF($D$2:$EE$2,CI$2-1,$D31:$EE31)/12)*(1+XLOOKUP(CI$2,Assumptions!$C$94:$M$94,Assumptions!$C$98:$M$98))))</f>
        <v>-3438.052947</v>
      </c>
      <c r="CJ31" s="54">
        <f t="array" ref="CJ31">-(IF(CJ$2=1,Assumptions!$AF32/12,-(SUMIF($D$2:$EE$2,CJ$2-1,$D31:$EE31)/12)*(1+XLOOKUP(CJ$2,Assumptions!$C$94:$M$94,Assumptions!$C$98:$M$98))))</f>
        <v>-3541.194535</v>
      </c>
      <c r="CK31" s="54">
        <f t="array" ref="CK31">-(IF(CK$2=1,Assumptions!$AF32/12,-(SUMIF($D$2:$EE$2,CK$2-1,$D31:$EE31)/12)*(1+XLOOKUP(CK$2,Assumptions!$C$94:$M$94,Assumptions!$C$98:$M$98))))</f>
        <v>-3541.194535</v>
      </c>
      <c r="CL31" s="54">
        <f t="array" ref="CL31">-(IF(CL$2=1,Assumptions!$AF32/12,-(SUMIF($D$2:$EE$2,CL$2-1,$D31:$EE31)/12)*(1+XLOOKUP(CL$2,Assumptions!$C$94:$M$94,Assumptions!$C$98:$M$98))))</f>
        <v>-3541.194535</v>
      </c>
      <c r="CM31" s="54">
        <f t="array" ref="CM31">-(IF(CM$2=1,Assumptions!$AF32/12,-(SUMIF($D$2:$EE$2,CM$2-1,$D31:$EE31)/12)*(1+XLOOKUP(CM$2,Assumptions!$C$94:$M$94,Assumptions!$C$98:$M$98))))</f>
        <v>-3541.194535</v>
      </c>
      <c r="CN31" s="54">
        <f t="array" ref="CN31">-(IF(CN$2=1,Assumptions!$AF32/12,-(SUMIF($D$2:$EE$2,CN$2-1,$D31:$EE31)/12)*(1+XLOOKUP(CN$2,Assumptions!$C$94:$M$94,Assumptions!$C$98:$M$98))))</f>
        <v>-3541.194535</v>
      </c>
      <c r="CO31" s="54">
        <f t="array" ref="CO31">-(IF(CO$2=1,Assumptions!$AF32/12,-(SUMIF($D$2:$EE$2,CO$2-1,$D31:$EE31)/12)*(1+XLOOKUP(CO$2,Assumptions!$C$94:$M$94,Assumptions!$C$98:$M$98))))</f>
        <v>-3541.194535</v>
      </c>
      <c r="CP31" s="54">
        <f t="array" ref="CP31">-(IF(CP$2=1,Assumptions!$AF32/12,-(SUMIF($D$2:$EE$2,CP$2-1,$D31:$EE31)/12)*(1+XLOOKUP(CP$2,Assumptions!$C$94:$M$94,Assumptions!$C$98:$M$98))))</f>
        <v>-3541.194535</v>
      </c>
      <c r="CQ31" s="54">
        <f t="array" ref="CQ31">-(IF(CQ$2=1,Assumptions!$AF32/12,-(SUMIF($D$2:$EE$2,CQ$2-1,$D31:$EE31)/12)*(1+XLOOKUP(CQ$2,Assumptions!$C$94:$M$94,Assumptions!$C$98:$M$98))))</f>
        <v>-3541.194535</v>
      </c>
      <c r="CR31" s="54">
        <f t="array" ref="CR31">-(IF(CR$2=1,Assumptions!$AF32/12,-(SUMIF($D$2:$EE$2,CR$2-1,$D31:$EE31)/12)*(1+XLOOKUP(CR$2,Assumptions!$C$94:$M$94,Assumptions!$C$98:$M$98))))</f>
        <v>-3541.194535</v>
      </c>
      <c r="CS31" s="54">
        <f t="array" ref="CS31">-(IF(CS$2=1,Assumptions!$AF32/12,-(SUMIF($D$2:$EE$2,CS$2-1,$D31:$EE31)/12)*(1+XLOOKUP(CS$2,Assumptions!$C$94:$M$94,Assumptions!$C$98:$M$98))))</f>
        <v>-3541.194535</v>
      </c>
      <c r="CT31" s="54">
        <f t="array" ref="CT31">-(IF(CT$2=1,Assumptions!$AF32/12,-(SUMIF($D$2:$EE$2,CT$2-1,$D31:$EE31)/12)*(1+XLOOKUP(CT$2,Assumptions!$C$94:$M$94,Assumptions!$C$98:$M$98))))</f>
        <v>-3541.194535</v>
      </c>
      <c r="CU31" s="54">
        <f t="array" ref="CU31">-(IF(CU$2=1,Assumptions!$AF32/12,-(SUMIF($D$2:$EE$2,CU$2-1,$D31:$EE31)/12)*(1+XLOOKUP(CU$2,Assumptions!$C$94:$M$94,Assumptions!$C$98:$M$98))))</f>
        <v>-3541.194535</v>
      </c>
      <c r="CV31" s="54">
        <f t="array" ref="CV31">-(IF(CV$2=1,Assumptions!$AF32/12,-(SUMIF($D$2:$EE$2,CV$2-1,$D31:$EE31)/12)*(1+XLOOKUP(CV$2,Assumptions!$C$94:$M$94,Assumptions!$C$98:$M$98))))</f>
        <v>-3647.430371</v>
      </c>
      <c r="CW31" s="54">
        <f t="array" ref="CW31">-(IF(CW$2=1,Assumptions!$AF32/12,-(SUMIF($D$2:$EE$2,CW$2-1,$D31:$EE31)/12)*(1+XLOOKUP(CW$2,Assumptions!$C$94:$M$94,Assumptions!$C$98:$M$98))))</f>
        <v>-3647.430371</v>
      </c>
      <c r="CX31" s="54">
        <f t="array" ref="CX31">-(IF(CX$2=1,Assumptions!$AF32/12,-(SUMIF($D$2:$EE$2,CX$2-1,$D31:$EE31)/12)*(1+XLOOKUP(CX$2,Assumptions!$C$94:$M$94,Assumptions!$C$98:$M$98))))</f>
        <v>-3647.430371</v>
      </c>
      <c r="CY31" s="54">
        <f t="array" ref="CY31">-(IF(CY$2=1,Assumptions!$AF32/12,-(SUMIF($D$2:$EE$2,CY$2-1,$D31:$EE31)/12)*(1+XLOOKUP(CY$2,Assumptions!$C$94:$M$94,Assumptions!$C$98:$M$98))))</f>
        <v>-3647.430371</v>
      </c>
      <c r="CZ31" s="54">
        <f t="array" ref="CZ31">-(IF(CZ$2=1,Assumptions!$AF32/12,-(SUMIF($D$2:$EE$2,CZ$2-1,$D31:$EE31)/12)*(1+XLOOKUP(CZ$2,Assumptions!$C$94:$M$94,Assumptions!$C$98:$M$98))))</f>
        <v>-3647.430371</v>
      </c>
      <c r="DA31" s="54">
        <f t="array" ref="DA31">-(IF(DA$2=1,Assumptions!$AF32/12,-(SUMIF($D$2:$EE$2,DA$2-1,$D31:$EE31)/12)*(1+XLOOKUP(DA$2,Assumptions!$C$94:$M$94,Assumptions!$C$98:$M$98))))</f>
        <v>-3647.430371</v>
      </c>
      <c r="DB31" s="54">
        <f t="array" ref="DB31">-(IF(DB$2=1,Assumptions!$AF32/12,-(SUMIF($D$2:$EE$2,DB$2-1,$D31:$EE31)/12)*(1+XLOOKUP(DB$2,Assumptions!$C$94:$M$94,Assumptions!$C$98:$M$98))))</f>
        <v>-3647.430371</v>
      </c>
      <c r="DC31" s="54">
        <f t="array" ref="DC31">-(IF(DC$2=1,Assumptions!$AF32/12,-(SUMIF($D$2:$EE$2,DC$2-1,$D31:$EE31)/12)*(1+XLOOKUP(DC$2,Assumptions!$C$94:$M$94,Assumptions!$C$98:$M$98))))</f>
        <v>-3647.430371</v>
      </c>
      <c r="DD31" s="54">
        <f t="array" ref="DD31">-(IF(DD$2=1,Assumptions!$AF32/12,-(SUMIF($D$2:$EE$2,DD$2-1,$D31:$EE31)/12)*(1+XLOOKUP(DD$2,Assumptions!$C$94:$M$94,Assumptions!$C$98:$M$98))))</f>
        <v>-3647.430371</v>
      </c>
      <c r="DE31" s="54">
        <f t="array" ref="DE31">-(IF(DE$2=1,Assumptions!$AF32/12,-(SUMIF($D$2:$EE$2,DE$2-1,$D31:$EE31)/12)*(1+XLOOKUP(DE$2,Assumptions!$C$94:$M$94,Assumptions!$C$98:$M$98))))</f>
        <v>-3647.430371</v>
      </c>
      <c r="DF31" s="54">
        <f t="array" ref="DF31">-(IF(DF$2=1,Assumptions!$AF32/12,-(SUMIF($D$2:$EE$2,DF$2-1,$D31:$EE31)/12)*(1+XLOOKUP(DF$2,Assumptions!$C$94:$M$94,Assumptions!$C$98:$M$98))))</f>
        <v>-3647.430371</v>
      </c>
      <c r="DG31" s="54">
        <f t="array" ref="DG31">-(IF(DG$2=1,Assumptions!$AF32/12,-(SUMIF($D$2:$EE$2,DG$2-1,$D31:$EE31)/12)*(1+XLOOKUP(DG$2,Assumptions!$C$94:$M$94,Assumptions!$C$98:$M$98))))</f>
        <v>-3647.430371</v>
      </c>
      <c r="DH31" s="54">
        <f t="array" ref="DH31">-(IF(DH$2=1,Assumptions!$AF32/12,-(SUMIF($D$2:$EE$2,DH$2-1,$D31:$EE31)/12)*(1+XLOOKUP(DH$2,Assumptions!$C$94:$M$94,Assumptions!$C$98:$M$98))))</f>
        <v>-3756.853282</v>
      </c>
      <c r="DI31" s="54">
        <f t="array" ref="DI31">-(IF(DI$2=1,Assumptions!$AF32/12,-(SUMIF($D$2:$EE$2,DI$2-1,$D31:$EE31)/12)*(1+XLOOKUP(DI$2,Assumptions!$C$94:$M$94,Assumptions!$C$98:$M$98))))</f>
        <v>-3756.853282</v>
      </c>
      <c r="DJ31" s="54">
        <f t="array" ref="DJ31">-(IF(DJ$2=1,Assumptions!$AF32/12,-(SUMIF($D$2:$EE$2,DJ$2-1,$D31:$EE31)/12)*(1+XLOOKUP(DJ$2,Assumptions!$C$94:$M$94,Assumptions!$C$98:$M$98))))</f>
        <v>-3756.853282</v>
      </c>
      <c r="DK31" s="54">
        <f t="array" ref="DK31">-(IF(DK$2=1,Assumptions!$AF32/12,-(SUMIF($D$2:$EE$2,DK$2-1,$D31:$EE31)/12)*(1+XLOOKUP(DK$2,Assumptions!$C$94:$M$94,Assumptions!$C$98:$M$98))))</f>
        <v>-3756.853282</v>
      </c>
      <c r="DL31" s="54">
        <f t="array" ref="DL31">-(IF(DL$2=1,Assumptions!$AF32/12,-(SUMIF($D$2:$EE$2,DL$2-1,$D31:$EE31)/12)*(1+XLOOKUP(DL$2,Assumptions!$C$94:$M$94,Assumptions!$C$98:$M$98))))</f>
        <v>-3756.853282</v>
      </c>
      <c r="DM31" s="54">
        <f t="array" ref="DM31">-(IF(DM$2=1,Assumptions!$AF32/12,-(SUMIF($D$2:$EE$2,DM$2-1,$D31:$EE31)/12)*(1+XLOOKUP(DM$2,Assumptions!$C$94:$M$94,Assumptions!$C$98:$M$98))))</f>
        <v>-3756.853282</v>
      </c>
      <c r="DN31" s="54">
        <f t="array" ref="DN31">-(IF(DN$2=1,Assumptions!$AF32/12,-(SUMIF($D$2:$EE$2,DN$2-1,$D31:$EE31)/12)*(1+XLOOKUP(DN$2,Assumptions!$C$94:$M$94,Assumptions!$C$98:$M$98))))</f>
        <v>-3756.853282</v>
      </c>
      <c r="DO31" s="54">
        <f t="array" ref="DO31">-(IF(DO$2=1,Assumptions!$AF32/12,-(SUMIF($D$2:$EE$2,DO$2-1,$D31:$EE31)/12)*(1+XLOOKUP(DO$2,Assumptions!$C$94:$M$94,Assumptions!$C$98:$M$98))))</f>
        <v>-3756.853282</v>
      </c>
      <c r="DP31" s="54">
        <f t="array" ref="DP31">-(IF(DP$2=1,Assumptions!$AF32/12,-(SUMIF($D$2:$EE$2,DP$2-1,$D31:$EE31)/12)*(1+XLOOKUP(DP$2,Assumptions!$C$94:$M$94,Assumptions!$C$98:$M$98))))</f>
        <v>-3756.853282</v>
      </c>
      <c r="DQ31" s="54">
        <f t="array" ref="DQ31">-(IF(DQ$2=1,Assumptions!$AF32/12,-(SUMIF($D$2:$EE$2,DQ$2-1,$D31:$EE31)/12)*(1+XLOOKUP(DQ$2,Assumptions!$C$94:$M$94,Assumptions!$C$98:$M$98))))</f>
        <v>-3756.853282</v>
      </c>
      <c r="DR31" s="54">
        <f t="array" ref="DR31">-(IF(DR$2=1,Assumptions!$AF32/12,-(SUMIF($D$2:$EE$2,DR$2-1,$D31:$EE31)/12)*(1+XLOOKUP(DR$2,Assumptions!$C$94:$M$94,Assumptions!$C$98:$M$98))))</f>
        <v>-3756.853282</v>
      </c>
      <c r="DS31" s="54">
        <f t="array" ref="DS31">-(IF(DS$2=1,Assumptions!$AF32/12,-(SUMIF($D$2:$EE$2,DS$2-1,$D31:$EE31)/12)*(1+XLOOKUP(DS$2,Assumptions!$C$94:$M$94,Assumptions!$C$98:$M$98))))</f>
        <v>-3756.853282</v>
      </c>
      <c r="DT31" s="54">
        <f t="array" ref="DT31">-(IF(DT$2=1,Assumptions!$AF32/12,-(SUMIF($D$2:$EE$2,DT$2-1,$D31:$EE31)/12)*(1+XLOOKUP(DT$2,Assumptions!$C$94:$M$94,Assumptions!$C$98:$M$98))))</f>
        <v>-3869.558881</v>
      </c>
      <c r="DU31" s="54">
        <f t="array" ref="DU31">-(IF(DU$2=1,Assumptions!$AF32/12,-(SUMIF($D$2:$EE$2,DU$2-1,$D31:$EE31)/12)*(1+XLOOKUP(DU$2,Assumptions!$C$94:$M$94,Assumptions!$C$98:$M$98))))</f>
        <v>-3869.558881</v>
      </c>
      <c r="DV31" s="54">
        <f t="array" ref="DV31">-(IF(DV$2=1,Assumptions!$AF32/12,-(SUMIF($D$2:$EE$2,DV$2-1,$D31:$EE31)/12)*(1+XLOOKUP(DV$2,Assumptions!$C$94:$M$94,Assumptions!$C$98:$M$98))))</f>
        <v>-3869.558881</v>
      </c>
      <c r="DW31" s="54">
        <f t="array" ref="DW31">-(IF(DW$2=1,Assumptions!$AF32/12,-(SUMIF($D$2:$EE$2,DW$2-1,$D31:$EE31)/12)*(1+XLOOKUP(DW$2,Assumptions!$C$94:$M$94,Assumptions!$C$98:$M$98))))</f>
        <v>-3869.558881</v>
      </c>
      <c r="DX31" s="54">
        <f t="array" ref="DX31">-(IF(DX$2=1,Assumptions!$AF32/12,-(SUMIF($D$2:$EE$2,DX$2-1,$D31:$EE31)/12)*(1+XLOOKUP(DX$2,Assumptions!$C$94:$M$94,Assumptions!$C$98:$M$98))))</f>
        <v>-3869.558881</v>
      </c>
      <c r="DY31" s="54">
        <f t="array" ref="DY31">-(IF(DY$2=1,Assumptions!$AF32/12,-(SUMIF($D$2:$EE$2,DY$2-1,$D31:$EE31)/12)*(1+XLOOKUP(DY$2,Assumptions!$C$94:$M$94,Assumptions!$C$98:$M$98))))</f>
        <v>-3869.558881</v>
      </c>
      <c r="DZ31" s="54">
        <f t="array" ref="DZ31">-(IF(DZ$2=1,Assumptions!$AF32/12,-(SUMIF($D$2:$EE$2,DZ$2-1,$D31:$EE31)/12)*(1+XLOOKUP(DZ$2,Assumptions!$C$94:$M$94,Assumptions!$C$98:$M$98))))</f>
        <v>-3869.558881</v>
      </c>
      <c r="EA31" s="54">
        <f t="array" ref="EA31">-(IF(EA$2=1,Assumptions!$AF32/12,-(SUMIF($D$2:$EE$2,EA$2-1,$D31:$EE31)/12)*(1+XLOOKUP(EA$2,Assumptions!$C$94:$M$94,Assumptions!$C$98:$M$98))))</f>
        <v>-3869.558881</v>
      </c>
      <c r="EB31" s="54">
        <f t="array" ref="EB31">-(IF(EB$2=1,Assumptions!$AF32/12,-(SUMIF($D$2:$EE$2,EB$2-1,$D31:$EE31)/12)*(1+XLOOKUP(EB$2,Assumptions!$C$94:$M$94,Assumptions!$C$98:$M$98))))</f>
        <v>-3869.558881</v>
      </c>
      <c r="EC31" s="54">
        <f t="array" ref="EC31">-(IF(EC$2=1,Assumptions!$AF32/12,-(SUMIF($D$2:$EE$2,EC$2-1,$D31:$EE31)/12)*(1+XLOOKUP(EC$2,Assumptions!$C$94:$M$94,Assumptions!$C$98:$M$98))))</f>
        <v>-3869.558881</v>
      </c>
      <c r="ED31" s="54">
        <f t="array" ref="ED31">-(IF(ED$2=1,Assumptions!$AF32/12,-(SUMIF($D$2:$EE$2,ED$2-1,$D31:$EE31)/12)*(1+XLOOKUP(ED$2,Assumptions!$C$94:$M$94,Assumptions!$C$98:$M$98))))</f>
        <v>-3869.558881</v>
      </c>
      <c r="EE31" s="54">
        <f t="array" ref="EE31">-(IF(EE$2=1,Assumptions!$AF32/12,-(SUMIF($D$2:$EE$2,EE$2-1,$D31:$EE31)/12)*(1+XLOOKUP(EE$2,Assumptions!$C$94:$M$94,Assumptions!$C$98:$M$98))))</f>
        <v>-3869.558881</v>
      </c>
    </row>
    <row r="32" ht="15.75" customHeight="1">
      <c r="A32" s="1"/>
      <c r="B32" s="1"/>
      <c r="C32" s="1" t="str">
        <f>Assumptions!J33</f>
        <v>Turnaround Expense</v>
      </c>
      <c r="D32" s="54">
        <f t="array" ref="D32">-(IF(D$2=1,Assumptions!$AF33/12,-(SUMIF($D$2:$EE$2,D$2-1,$D32:$EE32)/12)*(1+XLOOKUP(D$2,Assumptions!$C$94:$M$94,Assumptions!$C$98:$M$98))))</f>
        <v>-3340.633333</v>
      </c>
      <c r="E32" s="54">
        <f t="array" ref="E32">-(IF(E$2=1,Assumptions!$AF33/12,-(SUMIF($D$2:$EE$2,E$2-1,$D32:$EE32)/12)*(1+XLOOKUP(E$2,Assumptions!$C$94:$M$94,Assumptions!$C$98:$M$98))))</f>
        <v>-3340.633333</v>
      </c>
      <c r="F32" s="54">
        <f t="array" ref="F32">-(IF(F$2=1,Assumptions!$AF33/12,-(SUMIF($D$2:$EE$2,F$2-1,$D32:$EE32)/12)*(1+XLOOKUP(F$2,Assumptions!$C$94:$M$94,Assumptions!$C$98:$M$98))))</f>
        <v>-3340.633333</v>
      </c>
      <c r="G32" s="54">
        <f t="array" ref="G32">-(IF(G$2=1,Assumptions!$AF33/12,-(SUMIF($D$2:$EE$2,G$2-1,$D32:$EE32)/12)*(1+XLOOKUP(G$2,Assumptions!$C$94:$M$94,Assumptions!$C$98:$M$98))))</f>
        <v>-3340.633333</v>
      </c>
      <c r="H32" s="54">
        <f t="array" ref="H32">-(IF(H$2=1,Assumptions!$AF33/12,-(SUMIF($D$2:$EE$2,H$2-1,$D32:$EE32)/12)*(1+XLOOKUP(H$2,Assumptions!$C$94:$M$94,Assumptions!$C$98:$M$98))))</f>
        <v>-3340.633333</v>
      </c>
      <c r="I32" s="54">
        <f t="array" ref="I32">-(IF(I$2=1,Assumptions!$AF33/12,-(SUMIF($D$2:$EE$2,I$2-1,$D32:$EE32)/12)*(1+XLOOKUP(I$2,Assumptions!$C$94:$M$94,Assumptions!$C$98:$M$98))))</f>
        <v>-3340.633333</v>
      </c>
      <c r="J32" s="54">
        <f t="array" ref="J32">-(IF(J$2=1,Assumptions!$AF33/12,-(SUMIF($D$2:$EE$2,J$2-1,$D32:$EE32)/12)*(1+XLOOKUP(J$2,Assumptions!$C$94:$M$94,Assumptions!$C$98:$M$98))))</f>
        <v>-3340.633333</v>
      </c>
      <c r="K32" s="54">
        <f t="array" ref="K32">-(IF(K$2=1,Assumptions!$AF33/12,-(SUMIF($D$2:$EE$2,K$2-1,$D32:$EE32)/12)*(1+XLOOKUP(K$2,Assumptions!$C$94:$M$94,Assumptions!$C$98:$M$98))))</f>
        <v>-3340.633333</v>
      </c>
      <c r="L32" s="54">
        <f t="array" ref="L32">-(IF(L$2=1,Assumptions!$AF33/12,-(SUMIF($D$2:$EE$2,L$2-1,$D32:$EE32)/12)*(1+XLOOKUP(L$2,Assumptions!$C$94:$M$94,Assumptions!$C$98:$M$98))))</f>
        <v>-3340.633333</v>
      </c>
      <c r="M32" s="54">
        <f t="array" ref="M32">-(IF(M$2=1,Assumptions!$AF33/12,-(SUMIF($D$2:$EE$2,M$2-1,$D32:$EE32)/12)*(1+XLOOKUP(M$2,Assumptions!$C$94:$M$94,Assumptions!$C$98:$M$98))))</f>
        <v>-3340.633333</v>
      </c>
      <c r="N32" s="54">
        <f t="array" ref="N32">-(IF(N$2=1,Assumptions!$AF33/12,-(SUMIF($D$2:$EE$2,N$2-1,$D32:$EE32)/12)*(1+XLOOKUP(N$2,Assumptions!$C$94:$M$94,Assumptions!$C$98:$M$98))))</f>
        <v>-3340.633333</v>
      </c>
      <c r="O32" s="54">
        <f t="array" ref="O32">-(IF(O$2=1,Assumptions!$AF33/12,-(SUMIF($D$2:$EE$2,O$2-1,$D32:$EE32)/12)*(1+XLOOKUP(O$2,Assumptions!$C$94:$M$94,Assumptions!$C$98:$M$98))))</f>
        <v>-3340.633333</v>
      </c>
      <c r="P32" s="54">
        <f t="array" ref="P32">-(IF(P$2=1,Assumptions!$AF33/12,-(SUMIF($D$2:$EE$2,P$2-1,$D32:$EE32)/12)*(1+XLOOKUP(P$2,Assumptions!$C$94:$M$94,Assumptions!$C$98:$M$98))))</f>
        <v>-3440.852333</v>
      </c>
      <c r="Q32" s="54">
        <f t="array" ref="Q32">-(IF(Q$2=1,Assumptions!$AF33/12,-(SUMIF($D$2:$EE$2,Q$2-1,$D32:$EE32)/12)*(1+XLOOKUP(Q$2,Assumptions!$C$94:$M$94,Assumptions!$C$98:$M$98))))</f>
        <v>-3440.852333</v>
      </c>
      <c r="R32" s="54">
        <f t="array" ref="R32">-(IF(R$2=1,Assumptions!$AF33/12,-(SUMIF($D$2:$EE$2,R$2-1,$D32:$EE32)/12)*(1+XLOOKUP(R$2,Assumptions!$C$94:$M$94,Assumptions!$C$98:$M$98))))</f>
        <v>-3440.852333</v>
      </c>
      <c r="S32" s="54">
        <f t="array" ref="S32">-(IF(S$2=1,Assumptions!$AF33/12,-(SUMIF($D$2:$EE$2,S$2-1,$D32:$EE32)/12)*(1+XLOOKUP(S$2,Assumptions!$C$94:$M$94,Assumptions!$C$98:$M$98))))</f>
        <v>-3440.852333</v>
      </c>
      <c r="T32" s="54">
        <f t="array" ref="T32">-(IF(T$2=1,Assumptions!$AF33/12,-(SUMIF($D$2:$EE$2,T$2-1,$D32:$EE32)/12)*(1+XLOOKUP(T$2,Assumptions!$C$94:$M$94,Assumptions!$C$98:$M$98))))</f>
        <v>-3440.852333</v>
      </c>
      <c r="U32" s="54">
        <f t="array" ref="U32">-(IF(U$2=1,Assumptions!$AF33/12,-(SUMIF($D$2:$EE$2,U$2-1,$D32:$EE32)/12)*(1+XLOOKUP(U$2,Assumptions!$C$94:$M$94,Assumptions!$C$98:$M$98))))</f>
        <v>-3440.852333</v>
      </c>
      <c r="V32" s="54">
        <f t="array" ref="V32">-(IF(V$2=1,Assumptions!$AF33/12,-(SUMIF($D$2:$EE$2,V$2-1,$D32:$EE32)/12)*(1+XLOOKUP(V$2,Assumptions!$C$94:$M$94,Assumptions!$C$98:$M$98))))</f>
        <v>-3440.852333</v>
      </c>
      <c r="W32" s="54">
        <f t="array" ref="W32">-(IF(W$2=1,Assumptions!$AF33/12,-(SUMIF($D$2:$EE$2,W$2-1,$D32:$EE32)/12)*(1+XLOOKUP(W$2,Assumptions!$C$94:$M$94,Assumptions!$C$98:$M$98))))</f>
        <v>-3440.852333</v>
      </c>
      <c r="X32" s="54">
        <f t="array" ref="X32">-(IF(X$2=1,Assumptions!$AF33/12,-(SUMIF($D$2:$EE$2,X$2-1,$D32:$EE32)/12)*(1+XLOOKUP(X$2,Assumptions!$C$94:$M$94,Assumptions!$C$98:$M$98))))</f>
        <v>-3440.852333</v>
      </c>
      <c r="Y32" s="54">
        <f t="array" ref="Y32">-(IF(Y$2=1,Assumptions!$AF33/12,-(SUMIF($D$2:$EE$2,Y$2-1,$D32:$EE32)/12)*(1+XLOOKUP(Y$2,Assumptions!$C$94:$M$94,Assumptions!$C$98:$M$98))))</f>
        <v>-3440.852333</v>
      </c>
      <c r="Z32" s="54">
        <f t="array" ref="Z32">-(IF(Z$2=1,Assumptions!$AF33/12,-(SUMIF($D$2:$EE$2,Z$2-1,$D32:$EE32)/12)*(1+XLOOKUP(Z$2,Assumptions!$C$94:$M$94,Assumptions!$C$98:$M$98))))</f>
        <v>-3440.852333</v>
      </c>
      <c r="AA32" s="54">
        <f t="array" ref="AA32">-(IF(AA$2=1,Assumptions!$AF33/12,-(SUMIF($D$2:$EE$2,AA$2-1,$D32:$EE32)/12)*(1+XLOOKUP(AA$2,Assumptions!$C$94:$M$94,Assumptions!$C$98:$M$98))))</f>
        <v>-3440.852333</v>
      </c>
      <c r="AB32" s="54">
        <f t="array" ref="AB32">-(IF(AB$2=1,Assumptions!$AF33/12,-(SUMIF($D$2:$EE$2,AB$2-1,$D32:$EE32)/12)*(1+XLOOKUP(AB$2,Assumptions!$C$94:$M$94,Assumptions!$C$98:$M$98))))</f>
        <v>-3544.077903</v>
      </c>
      <c r="AC32" s="54">
        <f t="array" ref="AC32">-(IF(AC$2=1,Assumptions!$AF33/12,-(SUMIF($D$2:$EE$2,AC$2-1,$D32:$EE32)/12)*(1+XLOOKUP(AC$2,Assumptions!$C$94:$M$94,Assumptions!$C$98:$M$98))))</f>
        <v>-3544.077903</v>
      </c>
      <c r="AD32" s="54">
        <f t="array" ref="AD32">-(IF(AD$2=1,Assumptions!$AF33/12,-(SUMIF($D$2:$EE$2,AD$2-1,$D32:$EE32)/12)*(1+XLOOKUP(AD$2,Assumptions!$C$94:$M$94,Assumptions!$C$98:$M$98))))</f>
        <v>-3544.077903</v>
      </c>
      <c r="AE32" s="54">
        <f t="array" ref="AE32">-(IF(AE$2=1,Assumptions!$AF33/12,-(SUMIF($D$2:$EE$2,AE$2-1,$D32:$EE32)/12)*(1+XLOOKUP(AE$2,Assumptions!$C$94:$M$94,Assumptions!$C$98:$M$98))))</f>
        <v>-3544.077903</v>
      </c>
      <c r="AF32" s="54">
        <f t="array" ref="AF32">-(IF(AF$2=1,Assumptions!$AF33/12,-(SUMIF($D$2:$EE$2,AF$2-1,$D32:$EE32)/12)*(1+XLOOKUP(AF$2,Assumptions!$C$94:$M$94,Assumptions!$C$98:$M$98))))</f>
        <v>-3544.077903</v>
      </c>
      <c r="AG32" s="54">
        <f t="array" ref="AG32">-(IF(AG$2=1,Assumptions!$AF33/12,-(SUMIF($D$2:$EE$2,AG$2-1,$D32:$EE32)/12)*(1+XLOOKUP(AG$2,Assumptions!$C$94:$M$94,Assumptions!$C$98:$M$98))))</f>
        <v>-3544.077903</v>
      </c>
      <c r="AH32" s="54">
        <f t="array" ref="AH32">-(IF(AH$2=1,Assumptions!$AF33/12,-(SUMIF($D$2:$EE$2,AH$2-1,$D32:$EE32)/12)*(1+XLOOKUP(AH$2,Assumptions!$C$94:$M$94,Assumptions!$C$98:$M$98))))</f>
        <v>-3544.077903</v>
      </c>
      <c r="AI32" s="54">
        <f t="array" ref="AI32">-(IF(AI$2=1,Assumptions!$AF33/12,-(SUMIF($D$2:$EE$2,AI$2-1,$D32:$EE32)/12)*(1+XLOOKUP(AI$2,Assumptions!$C$94:$M$94,Assumptions!$C$98:$M$98))))</f>
        <v>-3544.077903</v>
      </c>
      <c r="AJ32" s="54">
        <f t="array" ref="AJ32">-(IF(AJ$2=1,Assumptions!$AF33/12,-(SUMIF($D$2:$EE$2,AJ$2-1,$D32:$EE32)/12)*(1+XLOOKUP(AJ$2,Assumptions!$C$94:$M$94,Assumptions!$C$98:$M$98))))</f>
        <v>-3544.077903</v>
      </c>
      <c r="AK32" s="54">
        <f t="array" ref="AK32">-(IF(AK$2=1,Assumptions!$AF33/12,-(SUMIF($D$2:$EE$2,AK$2-1,$D32:$EE32)/12)*(1+XLOOKUP(AK$2,Assumptions!$C$94:$M$94,Assumptions!$C$98:$M$98))))</f>
        <v>-3544.077903</v>
      </c>
      <c r="AL32" s="54">
        <f t="array" ref="AL32">-(IF(AL$2=1,Assumptions!$AF33/12,-(SUMIF($D$2:$EE$2,AL$2-1,$D32:$EE32)/12)*(1+XLOOKUP(AL$2,Assumptions!$C$94:$M$94,Assumptions!$C$98:$M$98))))</f>
        <v>-3544.077903</v>
      </c>
      <c r="AM32" s="54">
        <f t="array" ref="AM32">-(IF(AM$2=1,Assumptions!$AF33/12,-(SUMIF($D$2:$EE$2,AM$2-1,$D32:$EE32)/12)*(1+XLOOKUP(AM$2,Assumptions!$C$94:$M$94,Assumptions!$C$98:$M$98))))</f>
        <v>-3544.077903</v>
      </c>
      <c r="AN32" s="54">
        <f t="array" ref="AN32">-(IF(AN$2=1,Assumptions!$AF33/12,-(SUMIF($D$2:$EE$2,AN$2-1,$D32:$EE32)/12)*(1+XLOOKUP(AN$2,Assumptions!$C$94:$M$94,Assumptions!$C$98:$M$98))))</f>
        <v>-3650.40024</v>
      </c>
      <c r="AO32" s="54">
        <f t="array" ref="AO32">-(IF(AO$2=1,Assumptions!$AF33/12,-(SUMIF($D$2:$EE$2,AO$2-1,$D32:$EE32)/12)*(1+XLOOKUP(AO$2,Assumptions!$C$94:$M$94,Assumptions!$C$98:$M$98))))</f>
        <v>-3650.40024</v>
      </c>
      <c r="AP32" s="54">
        <f t="array" ref="AP32">-(IF(AP$2=1,Assumptions!$AF33/12,-(SUMIF($D$2:$EE$2,AP$2-1,$D32:$EE32)/12)*(1+XLOOKUP(AP$2,Assumptions!$C$94:$M$94,Assumptions!$C$98:$M$98))))</f>
        <v>-3650.40024</v>
      </c>
      <c r="AQ32" s="54">
        <f t="array" ref="AQ32">-(IF(AQ$2=1,Assumptions!$AF33/12,-(SUMIF($D$2:$EE$2,AQ$2-1,$D32:$EE32)/12)*(1+XLOOKUP(AQ$2,Assumptions!$C$94:$M$94,Assumptions!$C$98:$M$98))))</f>
        <v>-3650.40024</v>
      </c>
      <c r="AR32" s="54">
        <f t="array" ref="AR32">-(IF(AR$2=1,Assumptions!$AF33/12,-(SUMIF($D$2:$EE$2,AR$2-1,$D32:$EE32)/12)*(1+XLOOKUP(AR$2,Assumptions!$C$94:$M$94,Assumptions!$C$98:$M$98))))</f>
        <v>-3650.40024</v>
      </c>
      <c r="AS32" s="54">
        <f t="array" ref="AS32">-(IF(AS$2=1,Assumptions!$AF33/12,-(SUMIF($D$2:$EE$2,AS$2-1,$D32:$EE32)/12)*(1+XLOOKUP(AS$2,Assumptions!$C$94:$M$94,Assumptions!$C$98:$M$98))))</f>
        <v>-3650.40024</v>
      </c>
      <c r="AT32" s="54">
        <f t="array" ref="AT32">-(IF(AT$2=1,Assumptions!$AF33/12,-(SUMIF($D$2:$EE$2,AT$2-1,$D32:$EE32)/12)*(1+XLOOKUP(AT$2,Assumptions!$C$94:$M$94,Assumptions!$C$98:$M$98))))</f>
        <v>-3650.40024</v>
      </c>
      <c r="AU32" s="54">
        <f t="array" ref="AU32">-(IF(AU$2=1,Assumptions!$AF33/12,-(SUMIF($D$2:$EE$2,AU$2-1,$D32:$EE32)/12)*(1+XLOOKUP(AU$2,Assumptions!$C$94:$M$94,Assumptions!$C$98:$M$98))))</f>
        <v>-3650.40024</v>
      </c>
      <c r="AV32" s="54">
        <f t="array" ref="AV32">-(IF(AV$2=1,Assumptions!$AF33/12,-(SUMIF($D$2:$EE$2,AV$2-1,$D32:$EE32)/12)*(1+XLOOKUP(AV$2,Assumptions!$C$94:$M$94,Assumptions!$C$98:$M$98))))</f>
        <v>-3650.40024</v>
      </c>
      <c r="AW32" s="54">
        <f t="array" ref="AW32">-(IF(AW$2=1,Assumptions!$AF33/12,-(SUMIF($D$2:$EE$2,AW$2-1,$D32:$EE32)/12)*(1+XLOOKUP(AW$2,Assumptions!$C$94:$M$94,Assumptions!$C$98:$M$98))))</f>
        <v>-3650.40024</v>
      </c>
      <c r="AX32" s="54">
        <f t="array" ref="AX32">-(IF(AX$2=1,Assumptions!$AF33/12,-(SUMIF($D$2:$EE$2,AX$2-1,$D32:$EE32)/12)*(1+XLOOKUP(AX$2,Assumptions!$C$94:$M$94,Assumptions!$C$98:$M$98))))</f>
        <v>-3650.40024</v>
      </c>
      <c r="AY32" s="54">
        <f t="array" ref="AY32">-(IF(AY$2=1,Assumptions!$AF33/12,-(SUMIF($D$2:$EE$2,AY$2-1,$D32:$EE32)/12)*(1+XLOOKUP(AY$2,Assumptions!$C$94:$M$94,Assumptions!$C$98:$M$98))))</f>
        <v>-3650.40024</v>
      </c>
      <c r="AZ32" s="54">
        <f t="array" ref="AZ32">-(IF(AZ$2=1,Assumptions!$AF33/12,-(SUMIF($D$2:$EE$2,AZ$2-1,$D32:$EE32)/12)*(1+XLOOKUP(AZ$2,Assumptions!$C$94:$M$94,Assumptions!$C$98:$M$98))))</f>
        <v>-3759.912248</v>
      </c>
      <c r="BA32" s="54">
        <f t="array" ref="BA32">-(IF(BA$2=1,Assumptions!$AF33/12,-(SUMIF($D$2:$EE$2,BA$2-1,$D32:$EE32)/12)*(1+XLOOKUP(BA$2,Assumptions!$C$94:$M$94,Assumptions!$C$98:$M$98))))</f>
        <v>-3759.912248</v>
      </c>
      <c r="BB32" s="54">
        <f t="array" ref="BB32">-(IF(BB$2=1,Assumptions!$AF33/12,-(SUMIF($D$2:$EE$2,BB$2-1,$D32:$EE32)/12)*(1+XLOOKUP(BB$2,Assumptions!$C$94:$M$94,Assumptions!$C$98:$M$98))))</f>
        <v>-3759.912248</v>
      </c>
      <c r="BC32" s="54">
        <f t="array" ref="BC32">-(IF(BC$2=1,Assumptions!$AF33/12,-(SUMIF($D$2:$EE$2,BC$2-1,$D32:$EE32)/12)*(1+XLOOKUP(BC$2,Assumptions!$C$94:$M$94,Assumptions!$C$98:$M$98))))</f>
        <v>-3759.912248</v>
      </c>
      <c r="BD32" s="54">
        <f t="array" ref="BD32">-(IF(BD$2=1,Assumptions!$AF33/12,-(SUMIF($D$2:$EE$2,BD$2-1,$D32:$EE32)/12)*(1+XLOOKUP(BD$2,Assumptions!$C$94:$M$94,Assumptions!$C$98:$M$98))))</f>
        <v>-3759.912248</v>
      </c>
      <c r="BE32" s="54">
        <f t="array" ref="BE32">-(IF(BE$2=1,Assumptions!$AF33/12,-(SUMIF($D$2:$EE$2,BE$2-1,$D32:$EE32)/12)*(1+XLOOKUP(BE$2,Assumptions!$C$94:$M$94,Assumptions!$C$98:$M$98))))</f>
        <v>-3759.912248</v>
      </c>
      <c r="BF32" s="54">
        <f t="array" ref="BF32">-(IF(BF$2=1,Assumptions!$AF33/12,-(SUMIF($D$2:$EE$2,BF$2-1,$D32:$EE32)/12)*(1+XLOOKUP(BF$2,Assumptions!$C$94:$M$94,Assumptions!$C$98:$M$98))))</f>
        <v>-3759.912248</v>
      </c>
      <c r="BG32" s="54">
        <f t="array" ref="BG32">-(IF(BG$2=1,Assumptions!$AF33/12,-(SUMIF($D$2:$EE$2,BG$2-1,$D32:$EE32)/12)*(1+XLOOKUP(BG$2,Assumptions!$C$94:$M$94,Assumptions!$C$98:$M$98))))</f>
        <v>-3759.912248</v>
      </c>
      <c r="BH32" s="54">
        <f t="array" ref="BH32">-(IF(BH$2=1,Assumptions!$AF33/12,-(SUMIF($D$2:$EE$2,BH$2-1,$D32:$EE32)/12)*(1+XLOOKUP(BH$2,Assumptions!$C$94:$M$94,Assumptions!$C$98:$M$98))))</f>
        <v>-3759.912248</v>
      </c>
      <c r="BI32" s="54">
        <f t="array" ref="BI32">-(IF(BI$2=1,Assumptions!$AF33/12,-(SUMIF($D$2:$EE$2,BI$2-1,$D32:$EE32)/12)*(1+XLOOKUP(BI$2,Assumptions!$C$94:$M$94,Assumptions!$C$98:$M$98))))</f>
        <v>-3759.912248</v>
      </c>
      <c r="BJ32" s="54">
        <f t="array" ref="BJ32">-(IF(BJ$2=1,Assumptions!$AF33/12,-(SUMIF($D$2:$EE$2,BJ$2-1,$D32:$EE32)/12)*(1+XLOOKUP(BJ$2,Assumptions!$C$94:$M$94,Assumptions!$C$98:$M$98))))</f>
        <v>-3759.912248</v>
      </c>
      <c r="BK32" s="54">
        <f t="array" ref="BK32">-(IF(BK$2=1,Assumptions!$AF33/12,-(SUMIF($D$2:$EE$2,BK$2-1,$D32:$EE32)/12)*(1+XLOOKUP(BK$2,Assumptions!$C$94:$M$94,Assumptions!$C$98:$M$98))))</f>
        <v>-3759.912248</v>
      </c>
      <c r="BL32" s="54">
        <f t="array" ref="BL32">-(IF(BL$2=1,Assumptions!$AF33/12,-(SUMIF($D$2:$EE$2,BL$2-1,$D32:$EE32)/12)*(1+XLOOKUP(BL$2,Assumptions!$C$94:$M$94,Assumptions!$C$98:$M$98))))</f>
        <v>-3872.709615</v>
      </c>
      <c r="BM32" s="54">
        <f t="array" ref="BM32">-(IF(BM$2=1,Assumptions!$AF33/12,-(SUMIF($D$2:$EE$2,BM$2-1,$D32:$EE32)/12)*(1+XLOOKUP(BM$2,Assumptions!$C$94:$M$94,Assumptions!$C$98:$M$98))))</f>
        <v>-3872.709615</v>
      </c>
      <c r="BN32" s="54">
        <f t="array" ref="BN32">-(IF(BN$2=1,Assumptions!$AF33/12,-(SUMIF($D$2:$EE$2,BN$2-1,$D32:$EE32)/12)*(1+XLOOKUP(BN$2,Assumptions!$C$94:$M$94,Assumptions!$C$98:$M$98))))</f>
        <v>-3872.709615</v>
      </c>
      <c r="BO32" s="54">
        <f t="array" ref="BO32">-(IF(BO$2=1,Assumptions!$AF33/12,-(SUMIF($D$2:$EE$2,BO$2-1,$D32:$EE32)/12)*(1+XLOOKUP(BO$2,Assumptions!$C$94:$M$94,Assumptions!$C$98:$M$98))))</f>
        <v>-3872.709615</v>
      </c>
      <c r="BP32" s="54">
        <f t="array" ref="BP32">-(IF(BP$2=1,Assumptions!$AF33/12,-(SUMIF($D$2:$EE$2,BP$2-1,$D32:$EE32)/12)*(1+XLOOKUP(BP$2,Assumptions!$C$94:$M$94,Assumptions!$C$98:$M$98))))</f>
        <v>-3872.709615</v>
      </c>
      <c r="BQ32" s="54">
        <f t="array" ref="BQ32">-(IF(BQ$2=1,Assumptions!$AF33/12,-(SUMIF($D$2:$EE$2,BQ$2-1,$D32:$EE32)/12)*(1+XLOOKUP(BQ$2,Assumptions!$C$94:$M$94,Assumptions!$C$98:$M$98))))</f>
        <v>-3872.709615</v>
      </c>
      <c r="BR32" s="54">
        <f t="array" ref="BR32">-(IF(BR$2=1,Assumptions!$AF33/12,-(SUMIF($D$2:$EE$2,BR$2-1,$D32:$EE32)/12)*(1+XLOOKUP(BR$2,Assumptions!$C$94:$M$94,Assumptions!$C$98:$M$98))))</f>
        <v>-3872.709615</v>
      </c>
      <c r="BS32" s="54">
        <f t="array" ref="BS32">-(IF(BS$2=1,Assumptions!$AF33/12,-(SUMIF($D$2:$EE$2,BS$2-1,$D32:$EE32)/12)*(1+XLOOKUP(BS$2,Assumptions!$C$94:$M$94,Assumptions!$C$98:$M$98))))</f>
        <v>-3872.709615</v>
      </c>
      <c r="BT32" s="54">
        <f t="array" ref="BT32">-(IF(BT$2=1,Assumptions!$AF33/12,-(SUMIF($D$2:$EE$2,BT$2-1,$D32:$EE32)/12)*(1+XLOOKUP(BT$2,Assumptions!$C$94:$M$94,Assumptions!$C$98:$M$98))))</f>
        <v>-3872.709615</v>
      </c>
      <c r="BU32" s="54">
        <f t="array" ref="BU32">-(IF(BU$2=1,Assumptions!$AF33/12,-(SUMIF($D$2:$EE$2,BU$2-1,$D32:$EE32)/12)*(1+XLOOKUP(BU$2,Assumptions!$C$94:$M$94,Assumptions!$C$98:$M$98))))</f>
        <v>-3872.709615</v>
      </c>
      <c r="BV32" s="54">
        <f t="array" ref="BV32">-(IF(BV$2=1,Assumptions!$AF33/12,-(SUMIF($D$2:$EE$2,BV$2-1,$D32:$EE32)/12)*(1+XLOOKUP(BV$2,Assumptions!$C$94:$M$94,Assumptions!$C$98:$M$98))))</f>
        <v>-3872.709615</v>
      </c>
      <c r="BW32" s="54">
        <f t="array" ref="BW32">-(IF(BW$2=1,Assumptions!$AF33/12,-(SUMIF($D$2:$EE$2,BW$2-1,$D32:$EE32)/12)*(1+XLOOKUP(BW$2,Assumptions!$C$94:$M$94,Assumptions!$C$98:$M$98))))</f>
        <v>-3872.709615</v>
      </c>
      <c r="BX32" s="54">
        <f t="array" ref="BX32">-(IF(BX$2=1,Assumptions!$AF33/12,-(SUMIF($D$2:$EE$2,BX$2-1,$D32:$EE32)/12)*(1+XLOOKUP(BX$2,Assumptions!$C$94:$M$94,Assumptions!$C$98:$M$98))))</f>
        <v>-3988.890904</v>
      </c>
      <c r="BY32" s="54">
        <f t="array" ref="BY32">-(IF(BY$2=1,Assumptions!$AF33/12,-(SUMIF($D$2:$EE$2,BY$2-1,$D32:$EE32)/12)*(1+XLOOKUP(BY$2,Assumptions!$C$94:$M$94,Assumptions!$C$98:$M$98))))</f>
        <v>-3988.890904</v>
      </c>
      <c r="BZ32" s="54">
        <f t="array" ref="BZ32">-(IF(BZ$2=1,Assumptions!$AF33/12,-(SUMIF($D$2:$EE$2,BZ$2-1,$D32:$EE32)/12)*(1+XLOOKUP(BZ$2,Assumptions!$C$94:$M$94,Assumptions!$C$98:$M$98))))</f>
        <v>-3988.890904</v>
      </c>
      <c r="CA32" s="54">
        <f t="array" ref="CA32">-(IF(CA$2=1,Assumptions!$AF33/12,-(SUMIF($D$2:$EE$2,CA$2-1,$D32:$EE32)/12)*(1+XLOOKUP(CA$2,Assumptions!$C$94:$M$94,Assumptions!$C$98:$M$98))))</f>
        <v>-3988.890904</v>
      </c>
      <c r="CB32" s="54">
        <f t="array" ref="CB32">-(IF(CB$2=1,Assumptions!$AF33/12,-(SUMIF($D$2:$EE$2,CB$2-1,$D32:$EE32)/12)*(1+XLOOKUP(CB$2,Assumptions!$C$94:$M$94,Assumptions!$C$98:$M$98))))</f>
        <v>-3988.890904</v>
      </c>
      <c r="CC32" s="54">
        <f t="array" ref="CC32">-(IF(CC$2=1,Assumptions!$AF33/12,-(SUMIF($D$2:$EE$2,CC$2-1,$D32:$EE32)/12)*(1+XLOOKUP(CC$2,Assumptions!$C$94:$M$94,Assumptions!$C$98:$M$98))))</f>
        <v>-3988.890904</v>
      </c>
      <c r="CD32" s="54">
        <f t="array" ref="CD32">-(IF(CD$2=1,Assumptions!$AF33/12,-(SUMIF($D$2:$EE$2,CD$2-1,$D32:$EE32)/12)*(1+XLOOKUP(CD$2,Assumptions!$C$94:$M$94,Assumptions!$C$98:$M$98))))</f>
        <v>-3988.890904</v>
      </c>
      <c r="CE32" s="54">
        <f t="array" ref="CE32">-(IF(CE$2=1,Assumptions!$AF33/12,-(SUMIF($D$2:$EE$2,CE$2-1,$D32:$EE32)/12)*(1+XLOOKUP(CE$2,Assumptions!$C$94:$M$94,Assumptions!$C$98:$M$98))))</f>
        <v>-3988.890904</v>
      </c>
      <c r="CF32" s="54">
        <f t="array" ref="CF32">-(IF(CF$2=1,Assumptions!$AF33/12,-(SUMIF($D$2:$EE$2,CF$2-1,$D32:$EE32)/12)*(1+XLOOKUP(CF$2,Assumptions!$C$94:$M$94,Assumptions!$C$98:$M$98))))</f>
        <v>-3988.890904</v>
      </c>
      <c r="CG32" s="54">
        <f t="array" ref="CG32">-(IF(CG$2=1,Assumptions!$AF33/12,-(SUMIF($D$2:$EE$2,CG$2-1,$D32:$EE32)/12)*(1+XLOOKUP(CG$2,Assumptions!$C$94:$M$94,Assumptions!$C$98:$M$98))))</f>
        <v>-3988.890904</v>
      </c>
      <c r="CH32" s="54">
        <f t="array" ref="CH32">-(IF(CH$2=1,Assumptions!$AF33/12,-(SUMIF($D$2:$EE$2,CH$2-1,$D32:$EE32)/12)*(1+XLOOKUP(CH$2,Assumptions!$C$94:$M$94,Assumptions!$C$98:$M$98))))</f>
        <v>-3988.890904</v>
      </c>
      <c r="CI32" s="54">
        <f t="array" ref="CI32">-(IF(CI$2=1,Assumptions!$AF33/12,-(SUMIF($D$2:$EE$2,CI$2-1,$D32:$EE32)/12)*(1+XLOOKUP(CI$2,Assumptions!$C$94:$M$94,Assumptions!$C$98:$M$98))))</f>
        <v>-3988.890904</v>
      </c>
      <c r="CJ32" s="54">
        <f t="array" ref="CJ32">-(IF(CJ$2=1,Assumptions!$AF33/12,-(SUMIF($D$2:$EE$2,CJ$2-1,$D32:$EE32)/12)*(1+XLOOKUP(CJ$2,Assumptions!$C$94:$M$94,Assumptions!$C$98:$M$98))))</f>
        <v>-4108.557631</v>
      </c>
      <c r="CK32" s="54">
        <f t="array" ref="CK32">-(IF(CK$2=1,Assumptions!$AF33/12,-(SUMIF($D$2:$EE$2,CK$2-1,$D32:$EE32)/12)*(1+XLOOKUP(CK$2,Assumptions!$C$94:$M$94,Assumptions!$C$98:$M$98))))</f>
        <v>-4108.557631</v>
      </c>
      <c r="CL32" s="54">
        <f t="array" ref="CL32">-(IF(CL$2=1,Assumptions!$AF33/12,-(SUMIF($D$2:$EE$2,CL$2-1,$D32:$EE32)/12)*(1+XLOOKUP(CL$2,Assumptions!$C$94:$M$94,Assumptions!$C$98:$M$98))))</f>
        <v>-4108.557631</v>
      </c>
      <c r="CM32" s="54">
        <f t="array" ref="CM32">-(IF(CM$2=1,Assumptions!$AF33/12,-(SUMIF($D$2:$EE$2,CM$2-1,$D32:$EE32)/12)*(1+XLOOKUP(CM$2,Assumptions!$C$94:$M$94,Assumptions!$C$98:$M$98))))</f>
        <v>-4108.557631</v>
      </c>
      <c r="CN32" s="54">
        <f t="array" ref="CN32">-(IF(CN$2=1,Assumptions!$AF33/12,-(SUMIF($D$2:$EE$2,CN$2-1,$D32:$EE32)/12)*(1+XLOOKUP(CN$2,Assumptions!$C$94:$M$94,Assumptions!$C$98:$M$98))))</f>
        <v>-4108.557631</v>
      </c>
      <c r="CO32" s="54">
        <f t="array" ref="CO32">-(IF(CO$2=1,Assumptions!$AF33/12,-(SUMIF($D$2:$EE$2,CO$2-1,$D32:$EE32)/12)*(1+XLOOKUP(CO$2,Assumptions!$C$94:$M$94,Assumptions!$C$98:$M$98))))</f>
        <v>-4108.557631</v>
      </c>
      <c r="CP32" s="54">
        <f t="array" ref="CP32">-(IF(CP$2=1,Assumptions!$AF33/12,-(SUMIF($D$2:$EE$2,CP$2-1,$D32:$EE32)/12)*(1+XLOOKUP(CP$2,Assumptions!$C$94:$M$94,Assumptions!$C$98:$M$98))))</f>
        <v>-4108.557631</v>
      </c>
      <c r="CQ32" s="54">
        <f t="array" ref="CQ32">-(IF(CQ$2=1,Assumptions!$AF33/12,-(SUMIF($D$2:$EE$2,CQ$2-1,$D32:$EE32)/12)*(1+XLOOKUP(CQ$2,Assumptions!$C$94:$M$94,Assumptions!$C$98:$M$98))))</f>
        <v>-4108.557631</v>
      </c>
      <c r="CR32" s="54">
        <f t="array" ref="CR32">-(IF(CR$2=1,Assumptions!$AF33/12,-(SUMIF($D$2:$EE$2,CR$2-1,$D32:$EE32)/12)*(1+XLOOKUP(CR$2,Assumptions!$C$94:$M$94,Assumptions!$C$98:$M$98))))</f>
        <v>-4108.557631</v>
      </c>
      <c r="CS32" s="54">
        <f t="array" ref="CS32">-(IF(CS$2=1,Assumptions!$AF33/12,-(SUMIF($D$2:$EE$2,CS$2-1,$D32:$EE32)/12)*(1+XLOOKUP(CS$2,Assumptions!$C$94:$M$94,Assumptions!$C$98:$M$98))))</f>
        <v>-4108.557631</v>
      </c>
      <c r="CT32" s="54">
        <f t="array" ref="CT32">-(IF(CT$2=1,Assumptions!$AF33/12,-(SUMIF($D$2:$EE$2,CT$2-1,$D32:$EE32)/12)*(1+XLOOKUP(CT$2,Assumptions!$C$94:$M$94,Assumptions!$C$98:$M$98))))</f>
        <v>-4108.557631</v>
      </c>
      <c r="CU32" s="54">
        <f t="array" ref="CU32">-(IF(CU$2=1,Assumptions!$AF33/12,-(SUMIF($D$2:$EE$2,CU$2-1,$D32:$EE32)/12)*(1+XLOOKUP(CU$2,Assumptions!$C$94:$M$94,Assumptions!$C$98:$M$98))))</f>
        <v>-4108.557631</v>
      </c>
      <c r="CV32" s="54">
        <f t="array" ref="CV32">-(IF(CV$2=1,Assumptions!$AF33/12,-(SUMIF($D$2:$EE$2,CV$2-1,$D32:$EE32)/12)*(1+XLOOKUP(CV$2,Assumptions!$C$94:$M$94,Assumptions!$C$98:$M$98))))</f>
        <v>-4231.81436</v>
      </c>
      <c r="CW32" s="54">
        <f t="array" ref="CW32">-(IF(CW$2=1,Assumptions!$AF33/12,-(SUMIF($D$2:$EE$2,CW$2-1,$D32:$EE32)/12)*(1+XLOOKUP(CW$2,Assumptions!$C$94:$M$94,Assumptions!$C$98:$M$98))))</f>
        <v>-4231.81436</v>
      </c>
      <c r="CX32" s="54">
        <f t="array" ref="CX32">-(IF(CX$2=1,Assumptions!$AF33/12,-(SUMIF($D$2:$EE$2,CX$2-1,$D32:$EE32)/12)*(1+XLOOKUP(CX$2,Assumptions!$C$94:$M$94,Assumptions!$C$98:$M$98))))</f>
        <v>-4231.81436</v>
      </c>
      <c r="CY32" s="54">
        <f t="array" ref="CY32">-(IF(CY$2=1,Assumptions!$AF33/12,-(SUMIF($D$2:$EE$2,CY$2-1,$D32:$EE32)/12)*(1+XLOOKUP(CY$2,Assumptions!$C$94:$M$94,Assumptions!$C$98:$M$98))))</f>
        <v>-4231.81436</v>
      </c>
      <c r="CZ32" s="54">
        <f t="array" ref="CZ32">-(IF(CZ$2=1,Assumptions!$AF33/12,-(SUMIF($D$2:$EE$2,CZ$2-1,$D32:$EE32)/12)*(1+XLOOKUP(CZ$2,Assumptions!$C$94:$M$94,Assumptions!$C$98:$M$98))))</f>
        <v>-4231.81436</v>
      </c>
      <c r="DA32" s="54">
        <f t="array" ref="DA32">-(IF(DA$2=1,Assumptions!$AF33/12,-(SUMIF($D$2:$EE$2,DA$2-1,$D32:$EE32)/12)*(1+XLOOKUP(DA$2,Assumptions!$C$94:$M$94,Assumptions!$C$98:$M$98))))</f>
        <v>-4231.81436</v>
      </c>
      <c r="DB32" s="54">
        <f t="array" ref="DB32">-(IF(DB$2=1,Assumptions!$AF33/12,-(SUMIF($D$2:$EE$2,DB$2-1,$D32:$EE32)/12)*(1+XLOOKUP(DB$2,Assumptions!$C$94:$M$94,Assumptions!$C$98:$M$98))))</f>
        <v>-4231.81436</v>
      </c>
      <c r="DC32" s="54">
        <f t="array" ref="DC32">-(IF(DC$2=1,Assumptions!$AF33/12,-(SUMIF($D$2:$EE$2,DC$2-1,$D32:$EE32)/12)*(1+XLOOKUP(DC$2,Assumptions!$C$94:$M$94,Assumptions!$C$98:$M$98))))</f>
        <v>-4231.81436</v>
      </c>
      <c r="DD32" s="54">
        <f t="array" ref="DD32">-(IF(DD$2=1,Assumptions!$AF33/12,-(SUMIF($D$2:$EE$2,DD$2-1,$D32:$EE32)/12)*(1+XLOOKUP(DD$2,Assumptions!$C$94:$M$94,Assumptions!$C$98:$M$98))))</f>
        <v>-4231.81436</v>
      </c>
      <c r="DE32" s="54">
        <f t="array" ref="DE32">-(IF(DE$2=1,Assumptions!$AF33/12,-(SUMIF($D$2:$EE$2,DE$2-1,$D32:$EE32)/12)*(1+XLOOKUP(DE$2,Assumptions!$C$94:$M$94,Assumptions!$C$98:$M$98))))</f>
        <v>-4231.81436</v>
      </c>
      <c r="DF32" s="54">
        <f t="array" ref="DF32">-(IF(DF$2=1,Assumptions!$AF33/12,-(SUMIF($D$2:$EE$2,DF$2-1,$D32:$EE32)/12)*(1+XLOOKUP(DF$2,Assumptions!$C$94:$M$94,Assumptions!$C$98:$M$98))))</f>
        <v>-4231.81436</v>
      </c>
      <c r="DG32" s="54">
        <f t="array" ref="DG32">-(IF(DG$2=1,Assumptions!$AF33/12,-(SUMIF($D$2:$EE$2,DG$2-1,$D32:$EE32)/12)*(1+XLOOKUP(DG$2,Assumptions!$C$94:$M$94,Assumptions!$C$98:$M$98))))</f>
        <v>-4231.81436</v>
      </c>
      <c r="DH32" s="54">
        <f t="array" ref="DH32">-(IF(DH$2=1,Assumptions!$AF33/12,-(SUMIF($D$2:$EE$2,DH$2-1,$D32:$EE32)/12)*(1+XLOOKUP(DH$2,Assumptions!$C$94:$M$94,Assumptions!$C$98:$M$98))))</f>
        <v>-4358.76879</v>
      </c>
      <c r="DI32" s="54">
        <f t="array" ref="DI32">-(IF(DI$2=1,Assumptions!$AF33/12,-(SUMIF($D$2:$EE$2,DI$2-1,$D32:$EE32)/12)*(1+XLOOKUP(DI$2,Assumptions!$C$94:$M$94,Assumptions!$C$98:$M$98))))</f>
        <v>-4358.76879</v>
      </c>
      <c r="DJ32" s="54">
        <f t="array" ref="DJ32">-(IF(DJ$2=1,Assumptions!$AF33/12,-(SUMIF($D$2:$EE$2,DJ$2-1,$D32:$EE32)/12)*(1+XLOOKUP(DJ$2,Assumptions!$C$94:$M$94,Assumptions!$C$98:$M$98))))</f>
        <v>-4358.76879</v>
      </c>
      <c r="DK32" s="54">
        <f t="array" ref="DK32">-(IF(DK$2=1,Assumptions!$AF33/12,-(SUMIF($D$2:$EE$2,DK$2-1,$D32:$EE32)/12)*(1+XLOOKUP(DK$2,Assumptions!$C$94:$M$94,Assumptions!$C$98:$M$98))))</f>
        <v>-4358.76879</v>
      </c>
      <c r="DL32" s="54">
        <f t="array" ref="DL32">-(IF(DL$2=1,Assumptions!$AF33/12,-(SUMIF($D$2:$EE$2,DL$2-1,$D32:$EE32)/12)*(1+XLOOKUP(DL$2,Assumptions!$C$94:$M$94,Assumptions!$C$98:$M$98))))</f>
        <v>-4358.76879</v>
      </c>
      <c r="DM32" s="54">
        <f t="array" ref="DM32">-(IF(DM$2=1,Assumptions!$AF33/12,-(SUMIF($D$2:$EE$2,DM$2-1,$D32:$EE32)/12)*(1+XLOOKUP(DM$2,Assumptions!$C$94:$M$94,Assumptions!$C$98:$M$98))))</f>
        <v>-4358.76879</v>
      </c>
      <c r="DN32" s="54">
        <f t="array" ref="DN32">-(IF(DN$2=1,Assumptions!$AF33/12,-(SUMIF($D$2:$EE$2,DN$2-1,$D32:$EE32)/12)*(1+XLOOKUP(DN$2,Assumptions!$C$94:$M$94,Assumptions!$C$98:$M$98))))</f>
        <v>-4358.76879</v>
      </c>
      <c r="DO32" s="54">
        <f t="array" ref="DO32">-(IF(DO$2=1,Assumptions!$AF33/12,-(SUMIF($D$2:$EE$2,DO$2-1,$D32:$EE32)/12)*(1+XLOOKUP(DO$2,Assumptions!$C$94:$M$94,Assumptions!$C$98:$M$98))))</f>
        <v>-4358.76879</v>
      </c>
      <c r="DP32" s="54">
        <f t="array" ref="DP32">-(IF(DP$2=1,Assumptions!$AF33/12,-(SUMIF($D$2:$EE$2,DP$2-1,$D32:$EE32)/12)*(1+XLOOKUP(DP$2,Assumptions!$C$94:$M$94,Assumptions!$C$98:$M$98))))</f>
        <v>-4358.76879</v>
      </c>
      <c r="DQ32" s="54">
        <f t="array" ref="DQ32">-(IF(DQ$2=1,Assumptions!$AF33/12,-(SUMIF($D$2:$EE$2,DQ$2-1,$D32:$EE32)/12)*(1+XLOOKUP(DQ$2,Assumptions!$C$94:$M$94,Assumptions!$C$98:$M$98))))</f>
        <v>-4358.76879</v>
      </c>
      <c r="DR32" s="54">
        <f t="array" ref="DR32">-(IF(DR$2=1,Assumptions!$AF33/12,-(SUMIF($D$2:$EE$2,DR$2-1,$D32:$EE32)/12)*(1+XLOOKUP(DR$2,Assumptions!$C$94:$M$94,Assumptions!$C$98:$M$98))))</f>
        <v>-4358.76879</v>
      </c>
      <c r="DS32" s="54">
        <f t="array" ref="DS32">-(IF(DS$2=1,Assumptions!$AF33/12,-(SUMIF($D$2:$EE$2,DS$2-1,$D32:$EE32)/12)*(1+XLOOKUP(DS$2,Assumptions!$C$94:$M$94,Assumptions!$C$98:$M$98))))</f>
        <v>-4358.76879</v>
      </c>
      <c r="DT32" s="54">
        <f t="array" ref="DT32">-(IF(DT$2=1,Assumptions!$AF33/12,-(SUMIF($D$2:$EE$2,DT$2-1,$D32:$EE32)/12)*(1+XLOOKUP(DT$2,Assumptions!$C$94:$M$94,Assumptions!$C$98:$M$98))))</f>
        <v>-4489.531854</v>
      </c>
      <c r="DU32" s="54">
        <f t="array" ref="DU32">-(IF(DU$2=1,Assumptions!$AF33/12,-(SUMIF($D$2:$EE$2,DU$2-1,$D32:$EE32)/12)*(1+XLOOKUP(DU$2,Assumptions!$C$94:$M$94,Assumptions!$C$98:$M$98))))</f>
        <v>-4489.531854</v>
      </c>
      <c r="DV32" s="54">
        <f t="array" ref="DV32">-(IF(DV$2=1,Assumptions!$AF33/12,-(SUMIF($D$2:$EE$2,DV$2-1,$D32:$EE32)/12)*(1+XLOOKUP(DV$2,Assumptions!$C$94:$M$94,Assumptions!$C$98:$M$98))))</f>
        <v>-4489.531854</v>
      </c>
      <c r="DW32" s="54">
        <f t="array" ref="DW32">-(IF(DW$2=1,Assumptions!$AF33/12,-(SUMIF($D$2:$EE$2,DW$2-1,$D32:$EE32)/12)*(1+XLOOKUP(DW$2,Assumptions!$C$94:$M$94,Assumptions!$C$98:$M$98))))</f>
        <v>-4489.531854</v>
      </c>
      <c r="DX32" s="54">
        <f t="array" ref="DX32">-(IF(DX$2=1,Assumptions!$AF33/12,-(SUMIF($D$2:$EE$2,DX$2-1,$D32:$EE32)/12)*(1+XLOOKUP(DX$2,Assumptions!$C$94:$M$94,Assumptions!$C$98:$M$98))))</f>
        <v>-4489.531854</v>
      </c>
      <c r="DY32" s="54">
        <f t="array" ref="DY32">-(IF(DY$2=1,Assumptions!$AF33/12,-(SUMIF($D$2:$EE$2,DY$2-1,$D32:$EE32)/12)*(1+XLOOKUP(DY$2,Assumptions!$C$94:$M$94,Assumptions!$C$98:$M$98))))</f>
        <v>-4489.531854</v>
      </c>
      <c r="DZ32" s="54">
        <f t="array" ref="DZ32">-(IF(DZ$2=1,Assumptions!$AF33/12,-(SUMIF($D$2:$EE$2,DZ$2-1,$D32:$EE32)/12)*(1+XLOOKUP(DZ$2,Assumptions!$C$94:$M$94,Assumptions!$C$98:$M$98))))</f>
        <v>-4489.531854</v>
      </c>
      <c r="EA32" s="54">
        <f t="array" ref="EA32">-(IF(EA$2=1,Assumptions!$AF33/12,-(SUMIF($D$2:$EE$2,EA$2-1,$D32:$EE32)/12)*(1+XLOOKUP(EA$2,Assumptions!$C$94:$M$94,Assumptions!$C$98:$M$98))))</f>
        <v>-4489.531854</v>
      </c>
      <c r="EB32" s="54">
        <f t="array" ref="EB32">-(IF(EB$2=1,Assumptions!$AF33/12,-(SUMIF($D$2:$EE$2,EB$2-1,$D32:$EE32)/12)*(1+XLOOKUP(EB$2,Assumptions!$C$94:$M$94,Assumptions!$C$98:$M$98))))</f>
        <v>-4489.531854</v>
      </c>
      <c r="EC32" s="54">
        <f t="array" ref="EC32">-(IF(EC$2=1,Assumptions!$AF33/12,-(SUMIF($D$2:$EE$2,EC$2-1,$D32:$EE32)/12)*(1+XLOOKUP(EC$2,Assumptions!$C$94:$M$94,Assumptions!$C$98:$M$98))))</f>
        <v>-4489.531854</v>
      </c>
      <c r="ED32" s="54">
        <f t="array" ref="ED32">-(IF(ED$2=1,Assumptions!$AF33/12,-(SUMIF($D$2:$EE$2,ED$2-1,$D32:$EE32)/12)*(1+XLOOKUP(ED$2,Assumptions!$C$94:$M$94,Assumptions!$C$98:$M$98))))</f>
        <v>-4489.531854</v>
      </c>
      <c r="EE32" s="54">
        <f t="array" ref="EE32">-(IF(EE$2=1,Assumptions!$AF33/12,-(SUMIF($D$2:$EE$2,EE$2-1,$D32:$EE32)/12)*(1+XLOOKUP(EE$2,Assumptions!$C$94:$M$94,Assumptions!$C$98:$M$98))))</f>
        <v>-4489.531854</v>
      </c>
    </row>
    <row r="33" ht="15.75" customHeight="1">
      <c r="A33" s="1"/>
      <c r="B33" s="1"/>
      <c r="C33" s="1" t="str">
        <f>Assumptions!J34</f>
        <v>Tax</v>
      </c>
      <c r="D33" s="54">
        <f t="array" ref="D33">-(IF(D$2=1,Assumptions!$AF34/12,-(SUMIF($D$2:$EE$2,D$2-1,$D33:$EE33)/12)*(1+XLOOKUP(D$2,Assumptions!$C$94:$M$94,Assumptions!$C$98:$M$98))))</f>
        <v>-36127.87215</v>
      </c>
      <c r="E33" s="54">
        <f t="array" ref="E33">-(IF(E$2=1,Assumptions!$AF34/12,-(SUMIF($D$2:$EE$2,E$2-1,$D33:$EE33)/12)*(1+XLOOKUP(E$2,Assumptions!$C$94:$M$94,Assumptions!$C$98:$M$98))))</f>
        <v>-36127.87215</v>
      </c>
      <c r="F33" s="54">
        <f t="array" ref="F33">-(IF(F$2=1,Assumptions!$AF34/12,-(SUMIF($D$2:$EE$2,F$2-1,$D33:$EE33)/12)*(1+XLOOKUP(F$2,Assumptions!$C$94:$M$94,Assumptions!$C$98:$M$98))))</f>
        <v>-36127.87215</v>
      </c>
      <c r="G33" s="54">
        <f t="array" ref="G33">-(IF(G$2=1,Assumptions!$AF34/12,-(SUMIF($D$2:$EE$2,G$2-1,$D33:$EE33)/12)*(1+XLOOKUP(G$2,Assumptions!$C$94:$M$94,Assumptions!$C$98:$M$98))))</f>
        <v>-36127.87215</v>
      </c>
      <c r="H33" s="54">
        <f t="array" ref="H33">-(IF(H$2=1,Assumptions!$AF34/12,-(SUMIF($D$2:$EE$2,H$2-1,$D33:$EE33)/12)*(1+XLOOKUP(H$2,Assumptions!$C$94:$M$94,Assumptions!$C$98:$M$98))))</f>
        <v>-36127.87215</v>
      </c>
      <c r="I33" s="54">
        <f t="array" ref="I33">-(IF(I$2=1,Assumptions!$AF34/12,-(SUMIF($D$2:$EE$2,I$2-1,$D33:$EE33)/12)*(1+XLOOKUP(I$2,Assumptions!$C$94:$M$94,Assumptions!$C$98:$M$98))))</f>
        <v>-36127.87215</v>
      </c>
      <c r="J33" s="54">
        <f t="array" ref="J33">-(IF(J$2=1,Assumptions!$AF34/12,-(SUMIF($D$2:$EE$2,J$2-1,$D33:$EE33)/12)*(1+XLOOKUP(J$2,Assumptions!$C$94:$M$94,Assumptions!$C$98:$M$98))))</f>
        <v>-36127.87215</v>
      </c>
      <c r="K33" s="54">
        <f t="array" ref="K33">-(IF(K$2=1,Assumptions!$AF34/12,-(SUMIF($D$2:$EE$2,K$2-1,$D33:$EE33)/12)*(1+XLOOKUP(K$2,Assumptions!$C$94:$M$94,Assumptions!$C$98:$M$98))))</f>
        <v>-36127.87215</v>
      </c>
      <c r="L33" s="54">
        <f t="array" ref="L33">-(IF(L$2=1,Assumptions!$AF34/12,-(SUMIF($D$2:$EE$2,L$2-1,$D33:$EE33)/12)*(1+XLOOKUP(L$2,Assumptions!$C$94:$M$94,Assumptions!$C$98:$M$98))))</f>
        <v>-36127.87215</v>
      </c>
      <c r="M33" s="54">
        <f t="array" ref="M33">-(IF(M$2=1,Assumptions!$AF34/12,-(SUMIF($D$2:$EE$2,M$2-1,$D33:$EE33)/12)*(1+XLOOKUP(M$2,Assumptions!$C$94:$M$94,Assumptions!$C$98:$M$98))))</f>
        <v>-36127.87215</v>
      </c>
      <c r="N33" s="54">
        <f t="array" ref="N33">-(IF(N$2=1,Assumptions!$AF34/12,-(SUMIF($D$2:$EE$2,N$2-1,$D33:$EE33)/12)*(1+XLOOKUP(N$2,Assumptions!$C$94:$M$94,Assumptions!$C$98:$M$98))))</f>
        <v>-36127.87215</v>
      </c>
      <c r="O33" s="54">
        <f t="array" ref="O33">-(IF(O$2=1,Assumptions!$AF34/12,-(SUMIF($D$2:$EE$2,O$2-1,$D33:$EE33)/12)*(1+XLOOKUP(O$2,Assumptions!$C$94:$M$94,Assumptions!$C$98:$M$98))))</f>
        <v>-36127.87215</v>
      </c>
      <c r="P33" s="54">
        <f t="array" ref="P33">-(IF(P$2=1,Assumptions!$AF34/12,-(SUMIF($D$2:$EE$2,P$2-1,$D33:$EE33)/12)*(1+XLOOKUP(P$2,Assumptions!$C$94:$M$94,Assumptions!$C$98:$M$98))))</f>
        <v>-37211.70831</v>
      </c>
      <c r="Q33" s="54">
        <f t="array" ref="Q33">-(IF(Q$2=1,Assumptions!$AF34/12,-(SUMIF($D$2:$EE$2,Q$2-1,$D33:$EE33)/12)*(1+XLOOKUP(Q$2,Assumptions!$C$94:$M$94,Assumptions!$C$98:$M$98))))</f>
        <v>-37211.70831</v>
      </c>
      <c r="R33" s="54">
        <f t="array" ref="R33">-(IF(R$2=1,Assumptions!$AF34/12,-(SUMIF($D$2:$EE$2,R$2-1,$D33:$EE33)/12)*(1+XLOOKUP(R$2,Assumptions!$C$94:$M$94,Assumptions!$C$98:$M$98))))</f>
        <v>-37211.70831</v>
      </c>
      <c r="S33" s="54">
        <f t="array" ref="S33">-(IF(S$2=1,Assumptions!$AF34/12,-(SUMIF($D$2:$EE$2,S$2-1,$D33:$EE33)/12)*(1+XLOOKUP(S$2,Assumptions!$C$94:$M$94,Assumptions!$C$98:$M$98))))</f>
        <v>-37211.70831</v>
      </c>
      <c r="T33" s="54">
        <f t="array" ref="T33">-(IF(T$2=1,Assumptions!$AF34/12,-(SUMIF($D$2:$EE$2,T$2-1,$D33:$EE33)/12)*(1+XLOOKUP(T$2,Assumptions!$C$94:$M$94,Assumptions!$C$98:$M$98))))</f>
        <v>-37211.70831</v>
      </c>
      <c r="U33" s="54">
        <f t="array" ref="U33">-(IF(U$2=1,Assumptions!$AF34/12,-(SUMIF($D$2:$EE$2,U$2-1,$D33:$EE33)/12)*(1+XLOOKUP(U$2,Assumptions!$C$94:$M$94,Assumptions!$C$98:$M$98))))</f>
        <v>-37211.70831</v>
      </c>
      <c r="V33" s="54">
        <f t="array" ref="V33">-(IF(V$2=1,Assumptions!$AF34/12,-(SUMIF($D$2:$EE$2,V$2-1,$D33:$EE33)/12)*(1+XLOOKUP(V$2,Assumptions!$C$94:$M$94,Assumptions!$C$98:$M$98))))</f>
        <v>-37211.70831</v>
      </c>
      <c r="W33" s="54">
        <f t="array" ref="W33">-(IF(W$2=1,Assumptions!$AF34/12,-(SUMIF($D$2:$EE$2,W$2-1,$D33:$EE33)/12)*(1+XLOOKUP(W$2,Assumptions!$C$94:$M$94,Assumptions!$C$98:$M$98))))</f>
        <v>-37211.70831</v>
      </c>
      <c r="X33" s="54">
        <f t="array" ref="X33">-(IF(X$2=1,Assumptions!$AF34/12,-(SUMIF($D$2:$EE$2,X$2-1,$D33:$EE33)/12)*(1+XLOOKUP(X$2,Assumptions!$C$94:$M$94,Assumptions!$C$98:$M$98))))</f>
        <v>-37211.70831</v>
      </c>
      <c r="Y33" s="54">
        <f t="array" ref="Y33">-(IF(Y$2=1,Assumptions!$AF34/12,-(SUMIF($D$2:$EE$2,Y$2-1,$D33:$EE33)/12)*(1+XLOOKUP(Y$2,Assumptions!$C$94:$M$94,Assumptions!$C$98:$M$98))))</f>
        <v>-37211.70831</v>
      </c>
      <c r="Z33" s="54">
        <f t="array" ref="Z33">-(IF(Z$2=1,Assumptions!$AF34/12,-(SUMIF($D$2:$EE$2,Z$2-1,$D33:$EE33)/12)*(1+XLOOKUP(Z$2,Assumptions!$C$94:$M$94,Assumptions!$C$98:$M$98))))</f>
        <v>-37211.70831</v>
      </c>
      <c r="AA33" s="54">
        <f t="array" ref="AA33">-(IF(AA$2=1,Assumptions!$AF34/12,-(SUMIF($D$2:$EE$2,AA$2-1,$D33:$EE33)/12)*(1+XLOOKUP(AA$2,Assumptions!$C$94:$M$94,Assumptions!$C$98:$M$98))))</f>
        <v>-37211.70831</v>
      </c>
      <c r="AB33" s="54">
        <f t="array" ref="AB33">-(IF(AB$2=1,Assumptions!$AF34/12,-(SUMIF($D$2:$EE$2,AB$2-1,$D33:$EE33)/12)*(1+XLOOKUP(AB$2,Assumptions!$C$94:$M$94,Assumptions!$C$98:$M$98))))</f>
        <v>-38328.05956</v>
      </c>
      <c r="AC33" s="54">
        <f t="array" ref="AC33">-(IF(AC$2=1,Assumptions!$AF34/12,-(SUMIF($D$2:$EE$2,AC$2-1,$D33:$EE33)/12)*(1+XLOOKUP(AC$2,Assumptions!$C$94:$M$94,Assumptions!$C$98:$M$98))))</f>
        <v>-38328.05956</v>
      </c>
      <c r="AD33" s="54">
        <f t="array" ref="AD33">-(IF(AD$2=1,Assumptions!$AF34/12,-(SUMIF($D$2:$EE$2,AD$2-1,$D33:$EE33)/12)*(1+XLOOKUP(AD$2,Assumptions!$C$94:$M$94,Assumptions!$C$98:$M$98))))</f>
        <v>-38328.05956</v>
      </c>
      <c r="AE33" s="54">
        <f t="array" ref="AE33">-(IF(AE$2=1,Assumptions!$AF34/12,-(SUMIF($D$2:$EE$2,AE$2-1,$D33:$EE33)/12)*(1+XLOOKUP(AE$2,Assumptions!$C$94:$M$94,Assumptions!$C$98:$M$98))))</f>
        <v>-38328.05956</v>
      </c>
      <c r="AF33" s="54">
        <f t="array" ref="AF33">-(IF(AF$2=1,Assumptions!$AF34/12,-(SUMIF($D$2:$EE$2,AF$2-1,$D33:$EE33)/12)*(1+XLOOKUP(AF$2,Assumptions!$C$94:$M$94,Assumptions!$C$98:$M$98))))</f>
        <v>-38328.05956</v>
      </c>
      <c r="AG33" s="54">
        <f t="array" ref="AG33">-(IF(AG$2=1,Assumptions!$AF34/12,-(SUMIF($D$2:$EE$2,AG$2-1,$D33:$EE33)/12)*(1+XLOOKUP(AG$2,Assumptions!$C$94:$M$94,Assumptions!$C$98:$M$98))))</f>
        <v>-38328.05956</v>
      </c>
      <c r="AH33" s="54">
        <f t="array" ref="AH33">-(IF(AH$2=1,Assumptions!$AF34/12,-(SUMIF($D$2:$EE$2,AH$2-1,$D33:$EE33)/12)*(1+XLOOKUP(AH$2,Assumptions!$C$94:$M$94,Assumptions!$C$98:$M$98))))</f>
        <v>-38328.05956</v>
      </c>
      <c r="AI33" s="54">
        <f t="array" ref="AI33">-(IF(AI$2=1,Assumptions!$AF34/12,-(SUMIF($D$2:$EE$2,AI$2-1,$D33:$EE33)/12)*(1+XLOOKUP(AI$2,Assumptions!$C$94:$M$94,Assumptions!$C$98:$M$98))))</f>
        <v>-38328.05956</v>
      </c>
      <c r="AJ33" s="54">
        <f t="array" ref="AJ33">-(IF(AJ$2=1,Assumptions!$AF34/12,-(SUMIF($D$2:$EE$2,AJ$2-1,$D33:$EE33)/12)*(1+XLOOKUP(AJ$2,Assumptions!$C$94:$M$94,Assumptions!$C$98:$M$98))))</f>
        <v>-38328.05956</v>
      </c>
      <c r="AK33" s="54">
        <f t="array" ref="AK33">-(IF(AK$2=1,Assumptions!$AF34/12,-(SUMIF($D$2:$EE$2,AK$2-1,$D33:$EE33)/12)*(1+XLOOKUP(AK$2,Assumptions!$C$94:$M$94,Assumptions!$C$98:$M$98))))</f>
        <v>-38328.05956</v>
      </c>
      <c r="AL33" s="54">
        <f t="array" ref="AL33">-(IF(AL$2=1,Assumptions!$AF34/12,-(SUMIF($D$2:$EE$2,AL$2-1,$D33:$EE33)/12)*(1+XLOOKUP(AL$2,Assumptions!$C$94:$M$94,Assumptions!$C$98:$M$98))))</f>
        <v>-38328.05956</v>
      </c>
      <c r="AM33" s="54">
        <f t="array" ref="AM33">-(IF(AM$2=1,Assumptions!$AF34/12,-(SUMIF($D$2:$EE$2,AM$2-1,$D33:$EE33)/12)*(1+XLOOKUP(AM$2,Assumptions!$C$94:$M$94,Assumptions!$C$98:$M$98))))</f>
        <v>-38328.05956</v>
      </c>
      <c r="AN33" s="54">
        <f t="array" ref="AN33">-(IF(AN$2=1,Assumptions!$AF34/12,-(SUMIF($D$2:$EE$2,AN$2-1,$D33:$EE33)/12)*(1+XLOOKUP(AN$2,Assumptions!$C$94:$M$94,Assumptions!$C$98:$M$98))))</f>
        <v>-39477.90135</v>
      </c>
      <c r="AO33" s="54">
        <f t="array" ref="AO33">-(IF(AO$2=1,Assumptions!$AF34/12,-(SUMIF($D$2:$EE$2,AO$2-1,$D33:$EE33)/12)*(1+XLOOKUP(AO$2,Assumptions!$C$94:$M$94,Assumptions!$C$98:$M$98))))</f>
        <v>-39477.90135</v>
      </c>
      <c r="AP33" s="54">
        <f t="array" ref="AP33">-(IF(AP$2=1,Assumptions!$AF34/12,-(SUMIF($D$2:$EE$2,AP$2-1,$D33:$EE33)/12)*(1+XLOOKUP(AP$2,Assumptions!$C$94:$M$94,Assumptions!$C$98:$M$98))))</f>
        <v>-39477.90135</v>
      </c>
      <c r="AQ33" s="54">
        <f t="array" ref="AQ33">-(IF(AQ$2=1,Assumptions!$AF34/12,-(SUMIF($D$2:$EE$2,AQ$2-1,$D33:$EE33)/12)*(1+XLOOKUP(AQ$2,Assumptions!$C$94:$M$94,Assumptions!$C$98:$M$98))))</f>
        <v>-39477.90135</v>
      </c>
      <c r="AR33" s="54">
        <f t="array" ref="AR33">-(IF(AR$2=1,Assumptions!$AF34/12,-(SUMIF($D$2:$EE$2,AR$2-1,$D33:$EE33)/12)*(1+XLOOKUP(AR$2,Assumptions!$C$94:$M$94,Assumptions!$C$98:$M$98))))</f>
        <v>-39477.90135</v>
      </c>
      <c r="AS33" s="54">
        <f t="array" ref="AS33">-(IF(AS$2=1,Assumptions!$AF34/12,-(SUMIF($D$2:$EE$2,AS$2-1,$D33:$EE33)/12)*(1+XLOOKUP(AS$2,Assumptions!$C$94:$M$94,Assumptions!$C$98:$M$98))))</f>
        <v>-39477.90135</v>
      </c>
      <c r="AT33" s="54">
        <f t="array" ref="AT33">-(IF(AT$2=1,Assumptions!$AF34/12,-(SUMIF($D$2:$EE$2,AT$2-1,$D33:$EE33)/12)*(1+XLOOKUP(AT$2,Assumptions!$C$94:$M$94,Assumptions!$C$98:$M$98))))</f>
        <v>-39477.90135</v>
      </c>
      <c r="AU33" s="54">
        <f t="array" ref="AU33">-(IF(AU$2=1,Assumptions!$AF34/12,-(SUMIF($D$2:$EE$2,AU$2-1,$D33:$EE33)/12)*(1+XLOOKUP(AU$2,Assumptions!$C$94:$M$94,Assumptions!$C$98:$M$98))))</f>
        <v>-39477.90135</v>
      </c>
      <c r="AV33" s="54">
        <f t="array" ref="AV33">-(IF(AV$2=1,Assumptions!$AF34/12,-(SUMIF($D$2:$EE$2,AV$2-1,$D33:$EE33)/12)*(1+XLOOKUP(AV$2,Assumptions!$C$94:$M$94,Assumptions!$C$98:$M$98))))</f>
        <v>-39477.90135</v>
      </c>
      <c r="AW33" s="54">
        <f t="array" ref="AW33">-(IF(AW$2=1,Assumptions!$AF34/12,-(SUMIF($D$2:$EE$2,AW$2-1,$D33:$EE33)/12)*(1+XLOOKUP(AW$2,Assumptions!$C$94:$M$94,Assumptions!$C$98:$M$98))))</f>
        <v>-39477.90135</v>
      </c>
      <c r="AX33" s="54">
        <f t="array" ref="AX33">-(IF(AX$2=1,Assumptions!$AF34/12,-(SUMIF($D$2:$EE$2,AX$2-1,$D33:$EE33)/12)*(1+XLOOKUP(AX$2,Assumptions!$C$94:$M$94,Assumptions!$C$98:$M$98))))</f>
        <v>-39477.90135</v>
      </c>
      <c r="AY33" s="54">
        <f t="array" ref="AY33">-(IF(AY$2=1,Assumptions!$AF34/12,-(SUMIF($D$2:$EE$2,AY$2-1,$D33:$EE33)/12)*(1+XLOOKUP(AY$2,Assumptions!$C$94:$M$94,Assumptions!$C$98:$M$98))))</f>
        <v>-39477.90135</v>
      </c>
      <c r="AZ33" s="54">
        <f t="array" ref="AZ33">-(IF(AZ$2=1,Assumptions!$AF34/12,-(SUMIF($D$2:$EE$2,AZ$2-1,$D33:$EE33)/12)*(1+XLOOKUP(AZ$2,Assumptions!$C$94:$M$94,Assumptions!$C$98:$M$98))))</f>
        <v>-40662.23839</v>
      </c>
      <c r="BA33" s="54">
        <f t="array" ref="BA33">-(IF(BA$2=1,Assumptions!$AF34/12,-(SUMIF($D$2:$EE$2,BA$2-1,$D33:$EE33)/12)*(1+XLOOKUP(BA$2,Assumptions!$C$94:$M$94,Assumptions!$C$98:$M$98))))</f>
        <v>-40662.23839</v>
      </c>
      <c r="BB33" s="54">
        <f t="array" ref="BB33">-(IF(BB$2=1,Assumptions!$AF34/12,-(SUMIF($D$2:$EE$2,BB$2-1,$D33:$EE33)/12)*(1+XLOOKUP(BB$2,Assumptions!$C$94:$M$94,Assumptions!$C$98:$M$98))))</f>
        <v>-40662.23839</v>
      </c>
      <c r="BC33" s="54">
        <f t="array" ref="BC33">-(IF(BC$2=1,Assumptions!$AF34/12,-(SUMIF($D$2:$EE$2,BC$2-1,$D33:$EE33)/12)*(1+XLOOKUP(BC$2,Assumptions!$C$94:$M$94,Assumptions!$C$98:$M$98))))</f>
        <v>-40662.23839</v>
      </c>
      <c r="BD33" s="54">
        <f t="array" ref="BD33">-(IF(BD$2=1,Assumptions!$AF34/12,-(SUMIF($D$2:$EE$2,BD$2-1,$D33:$EE33)/12)*(1+XLOOKUP(BD$2,Assumptions!$C$94:$M$94,Assumptions!$C$98:$M$98))))</f>
        <v>-40662.23839</v>
      </c>
      <c r="BE33" s="54">
        <f t="array" ref="BE33">-(IF(BE$2=1,Assumptions!$AF34/12,-(SUMIF($D$2:$EE$2,BE$2-1,$D33:$EE33)/12)*(1+XLOOKUP(BE$2,Assumptions!$C$94:$M$94,Assumptions!$C$98:$M$98))))</f>
        <v>-40662.23839</v>
      </c>
      <c r="BF33" s="54">
        <f t="array" ref="BF33">-(IF(BF$2=1,Assumptions!$AF34/12,-(SUMIF($D$2:$EE$2,BF$2-1,$D33:$EE33)/12)*(1+XLOOKUP(BF$2,Assumptions!$C$94:$M$94,Assumptions!$C$98:$M$98))))</f>
        <v>-40662.23839</v>
      </c>
      <c r="BG33" s="54">
        <f t="array" ref="BG33">-(IF(BG$2=1,Assumptions!$AF34/12,-(SUMIF($D$2:$EE$2,BG$2-1,$D33:$EE33)/12)*(1+XLOOKUP(BG$2,Assumptions!$C$94:$M$94,Assumptions!$C$98:$M$98))))</f>
        <v>-40662.23839</v>
      </c>
      <c r="BH33" s="54">
        <f t="array" ref="BH33">-(IF(BH$2=1,Assumptions!$AF34/12,-(SUMIF($D$2:$EE$2,BH$2-1,$D33:$EE33)/12)*(1+XLOOKUP(BH$2,Assumptions!$C$94:$M$94,Assumptions!$C$98:$M$98))))</f>
        <v>-40662.23839</v>
      </c>
      <c r="BI33" s="54">
        <f t="array" ref="BI33">-(IF(BI$2=1,Assumptions!$AF34/12,-(SUMIF($D$2:$EE$2,BI$2-1,$D33:$EE33)/12)*(1+XLOOKUP(BI$2,Assumptions!$C$94:$M$94,Assumptions!$C$98:$M$98))))</f>
        <v>-40662.23839</v>
      </c>
      <c r="BJ33" s="54">
        <f t="array" ref="BJ33">-(IF(BJ$2=1,Assumptions!$AF34/12,-(SUMIF($D$2:$EE$2,BJ$2-1,$D33:$EE33)/12)*(1+XLOOKUP(BJ$2,Assumptions!$C$94:$M$94,Assumptions!$C$98:$M$98))))</f>
        <v>-40662.23839</v>
      </c>
      <c r="BK33" s="54">
        <f t="array" ref="BK33">-(IF(BK$2=1,Assumptions!$AF34/12,-(SUMIF($D$2:$EE$2,BK$2-1,$D33:$EE33)/12)*(1+XLOOKUP(BK$2,Assumptions!$C$94:$M$94,Assumptions!$C$98:$M$98))))</f>
        <v>-40662.23839</v>
      </c>
      <c r="BL33" s="54">
        <f t="array" ref="BL33">-(IF(BL$2=1,Assumptions!$AF34/12,-(SUMIF($D$2:$EE$2,BL$2-1,$D33:$EE33)/12)*(1+XLOOKUP(BL$2,Assumptions!$C$94:$M$94,Assumptions!$C$98:$M$98))))</f>
        <v>-41882.10554</v>
      </c>
      <c r="BM33" s="54">
        <f t="array" ref="BM33">-(IF(BM$2=1,Assumptions!$AF34/12,-(SUMIF($D$2:$EE$2,BM$2-1,$D33:$EE33)/12)*(1+XLOOKUP(BM$2,Assumptions!$C$94:$M$94,Assumptions!$C$98:$M$98))))</f>
        <v>-41882.10554</v>
      </c>
      <c r="BN33" s="54">
        <f t="array" ref="BN33">-(IF(BN$2=1,Assumptions!$AF34/12,-(SUMIF($D$2:$EE$2,BN$2-1,$D33:$EE33)/12)*(1+XLOOKUP(BN$2,Assumptions!$C$94:$M$94,Assumptions!$C$98:$M$98))))</f>
        <v>-41882.10554</v>
      </c>
      <c r="BO33" s="54">
        <f t="array" ref="BO33">-(IF(BO$2=1,Assumptions!$AF34/12,-(SUMIF($D$2:$EE$2,BO$2-1,$D33:$EE33)/12)*(1+XLOOKUP(BO$2,Assumptions!$C$94:$M$94,Assumptions!$C$98:$M$98))))</f>
        <v>-41882.10554</v>
      </c>
      <c r="BP33" s="54">
        <f t="array" ref="BP33">-(IF(BP$2=1,Assumptions!$AF34/12,-(SUMIF($D$2:$EE$2,BP$2-1,$D33:$EE33)/12)*(1+XLOOKUP(BP$2,Assumptions!$C$94:$M$94,Assumptions!$C$98:$M$98))))</f>
        <v>-41882.10554</v>
      </c>
      <c r="BQ33" s="54">
        <f t="array" ref="BQ33">-(IF(BQ$2=1,Assumptions!$AF34/12,-(SUMIF($D$2:$EE$2,BQ$2-1,$D33:$EE33)/12)*(1+XLOOKUP(BQ$2,Assumptions!$C$94:$M$94,Assumptions!$C$98:$M$98))))</f>
        <v>-41882.10554</v>
      </c>
      <c r="BR33" s="54">
        <f t="array" ref="BR33">-(IF(BR$2=1,Assumptions!$AF34/12,-(SUMIF($D$2:$EE$2,BR$2-1,$D33:$EE33)/12)*(1+XLOOKUP(BR$2,Assumptions!$C$94:$M$94,Assumptions!$C$98:$M$98))))</f>
        <v>-41882.10554</v>
      </c>
      <c r="BS33" s="54">
        <f t="array" ref="BS33">-(IF(BS$2=1,Assumptions!$AF34/12,-(SUMIF($D$2:$EE$2,BS$2-1,$D33:$EE33)/12)*(1+XLOOKUP(BS$2,Assumptions!$C$94:$M$94,Assumptions!$C$98:$M$98))))</f>
        <v>-41882.10554</v>
      </c>
      <c r="BT33" s="54">
        <f t="array" ref="BT33">-(IF(BT$2=1,Assumptions!$AF34/12,-(SUMIF($D$2:$EE$2,BT$2-1,$D33:$EE33)/12)*(1+XLOOKUP(BT$2,Assumptions!$C$94:$M$94,Assumptions!$C$98:$M$98))))</f>
        <v>-41882.10554</v>
      </c>
      <c r="BU33" s="54">
        <f t="array" ref="BU33">-(IF(BU$2=1,Assumptions!$AF34/12,-(SUMIF($D$2:$EE$2,BU$2-1,$D33:$EE33)/12)*(1+XLOOKUP(BU$2,Assumptions!$C$94:$M$94,Assumptions!$C$98:$M$98))))</f>
        <v>-41882.10554</v>
      </c>
      <c r="BV33" s="54">
        <f t="array" ref="BV33">-(IF(BV$2=1,Assumptions!$AF34/12,-(SUMIF($D$2:$EE$2,BV$2-1,$D33:$EE33)/12)*(1+XLOOKUP(BV$2,Assumptions!$C$94:$M$94,Assumptions!$C$98:$M$98))))</f>
        <v>-41882.10554</v>
      </c>
      <c r="BW33" s="54">
        <f t="array" ref="BW33">-(IF(BW$2=1,Assumptions!$AF34/12,-(SUMIF($D$2:$EE$2,BW$2-1,$D33:$EE33)/12)*(1+XLOOKUP(BW$2,Assumptions!$C$94:$M$94,Assumptions!$C$98:$M$98))))</f>
        <v>-41882.10554</v>
      </c>
      <c r="BX33" s="54">
        <f t="array" ref="BX33">-(IF(BX$2=1,Assumptions!$AF34/12,-(SUMIF($D$2:$EE$2,BX$2-1,$D33:$EE33)/12)*(1+XLOOKUP(BX$2,Assumptions!$C$94:$M$94,Assumptions!$C$98:$M$98))))</f>
        <v>-43138.56871</v>
      </c>
      <c r="BY33" s="54">
        <f t="array" ref="BY33">-(IF(BY$2=1,Assumptions!$AF34/12,-(SUMIF($D$2:$EE$2,BY$2-1,$D33:$EE33)/12)*(1+XLOOKUP(BY$2,Assumptions!$C$94:$M$94,Assumptions!$C$98:$M$98))))</f>
        <v>-43138.56871</v>
      </c>
      <c r="BZ33" s="54">
        <f t="array" ref="BZ33">-(IF(BZ$2=1,Assumptions!$AF34/12,-(SUMIF($D$2:$EE$2,BZ$2-1,$D33:$EE33)/12)*(1+XLOOKUP(BZ$2,Assumptions!$C$94:$M$94,Assumptions!$C$98:$M$98))))</f>
        <v>-43138.56871</v>
      </c>
      <c r="CA33" s="54">
        <f t="array" ref="CA33">-(IF(CA$2=1,Assumptions!$AF34/12,-(SUMIF($D$2:$EE$2,CA$2-1,$D33:$EE33)/12)*(1+XLOOKUP(CA$2,Assumptions!$C$94:$M$94,Assumptions!$C$98:$M$98))))</f>
        <v>-43138.56871</v>
      </c>
      <c r="CB33" s="54">
        <f t="array" ref="CB33">-(IF(CB$2=1,Assumptions!$AF34/12,-(SUMIF($D$2:$EE$2,CB$2-1,$D33:$EE33)/12)*(1+XLOOKUP(CB$2,Assumptions!$C$94:$M$94,Assumptions!$C$98:$M$98))))</f>
        <v>-43138.56871</v>
      </c>
      <c r="CC33" s="54">
        <f t="array" ref="CC33">-(IF(CC$2=1,Assumptions!$AF34/12,-(SUMIF($D$2:$EE$2,CC$2-1,$D33:$EE33)/12)*(1+XLOOKUP(CC$2,Assumptions!$C$94:$M$94,Assumptions!$C$98:$M$98))))</f>
        <v>-43138.56871</v>
      </c>
      <c r="CD33" s="54">
        <f t="array" ref="CD33">-(IF(CD$2=1,Assumptions!$AF34/12,-(SUMIF($D$2:$EE$2,CD$2-1,$D33:$EE33)/12)*(1+XLOOKUP(CD$2,Assumptions!$C$94:$M$94,Assumptions!$C$98:$M$98))))</f>
        <v>-43138.56871</v>
      </c>
      <c r="CE33" s="54">
        <f t="array" ref="CE33">-(IF(CE$2=1,Assumptions!$AF34/12,-(SUMIF($D$2:$EE$2,CE$2-1,$D33:$EE33)/12)*(1+XLOOKUP(CE$2,Assumptions!$C$94:$M$94,Assumptions!$C$98:$M$98))))</f>
        <v>-43138.56871</v>
      </c>
      <c r="CF33" s="54">
        <f t="array" ref="CF33">-(IF(CF$2=1,Assumptions!$AF34/12,-(SUMIF($D$2:$EE$2,CF$2-1,$D33:$EE33)/12)*(1+XLOOKUP(CF$2,Assumptions!$C$94:$M$94,Assumptions!$C$98:$M$98))))</f>
        <v>-43138.56871</v>
      </c>
      <c r="CG33" s="54">
        <f t="array" ref="CG33">-(IF(CG$2=1,Assumptions!$AF34/12,-(SUMIF($D$2:$EE$2,CG$2-1,$D33:$EE33)/12)*(1+XLOOKUP(CG$2,Assumptions!$C$94:$M$94,Assumptions!$C$98:$M$98))))</f>
        <v>-43138.56871</v>
      </c>
      <c r="CH33" s="54">
        <f t="array" ref="CH33">-(IF(CH$2=1,Assumptions!$AF34/12,-(SUMIF($D$2:$EE$2,CH$2-1,$D33:$EE33)/12)*(1+XLOOKUP(CH$2,Assumptions!$C$94:$M$94,Assumptions!$C$98:$M$98))))</f>
        <v>-43138.56871</v>
      </c>
      <c r="CI33" s="54">
        <f t="array" ref="CI33">-(IF(CI$2=1,Assumptions!$AF34/12,-(SUMIF($D$2:$EE$2,CI$2-1,$D33:$EE33)/12)*(1+XLOOKUP(CI$2,Assumptions!$C$94:$M$94,Assumptions!$C$98:$M$98))))</f>
        <v>-43138.56871</v>
      </c>
      <c r="CJ33" s="54">
        <f t="array" ref="CJ33">-(IF(CJ$2=1,Assumptions!$AF34/12,-(SUMIF($D$2:$EE$2,CJ$2-1,$D33:$EE33)/12)*(1+XLOOKUP(CJ$2,Assumptions!$C$94:$M$94,Assumptions!$C$98:$M$98))))</f>
        <v>-44432.72577</v>
      </c>
      <c r="CK33" s="54">
        <f t="array" ref="CK33">-(IF(CK$2=1,Assumptions!$AF34/12,-(SUMIF($D$2:$EE$2,CK$2-1,$D33:$EE33)/12)*(1+XLOOKUP(CK$2,Assumptions!$C$94:$M$94,Assumptions!$C$98:$M$98))))</f>
        <v>-44432.72577</v>
      </c>
      <c r="CL33" s="54">
        <f t="array" ref="CL33">-(IF(CL$2=1,Assumptions!$AF34/12,-(SUMIF($D$2:$EE$2,CL$2-1,$D33:$EE33)/12)*(1+XLOOKUP(CL$2,Assumptions!$C$94:$M$94,Assumptions!$C$98:$M$98))))</f>
        <v>-44432.72577</v>
      </c>
      <c r="CM33" s="54">
        <f t="array" ref="CM33">-(IF(CM$2=1,Assumptions!$AF34/12,-(SUMIF($D$2:$EE$2,CM$2-1,$D33:$EE33)/12)*(1+XLOOKUP(CM$2,Assumptions!$C$94:$M$94,Assumptions!$C$98:$M$98))))</f>
        <v>-44432.72577</v>
      </c>
      <c r="CN33" s="54">
        <f t="array" ref="CN33">-(IF(CN$2=1,Assumptions!$AF34/12,-(SUMIF($D$2:$EE$2,CN$2-1,$D33:$EE33)/12)*(1+XLOOKUP(CN$2,Assumptions!$C$94:$M$94,Assumptions!$C$98:$M$98))))</f>
        <v>-44432.72577</v>
      </c>
      <c r="CO33" s="54">
        <f t="array" ref="CO33">-(IF(CO$2=1,Assumptions!$AF34/12,-(SUMIF($D$2:$EE$2,CO$2-1,$D33:$EE33)/12)*(1+XLOOKUP(CO$2,Assumptions!$C$94:$M$94,Assumptions!$C$98:$M$98))))</f>
        <v>-44432.72577</v>
      </c>
      <c r="CP33" s="54">
        <f t="array" ref="CP33">-(IF(CP$2=1,Assumptions!$AF34/12,-(SUMIF($D$2:$EE$2,CP$2-1,$D33:$EE33)/12)*(1+XLOOKUP(CP$2,Assumptions!$C$94:$M$94,Assumptions!$C$98:$M$98))))</f>
        <v>-44432.72577</v>
      </c>
      <c r="CQ33" s="54">
        <f t="array" ref="CQ33">-(IF(CQ$2=1,Assumptions!$AF34/12,-(SUMIF($D$2:$EE$2,CQ$2-1,$D33:$EE33)/12)*(1+XLOOKUP(CQ$2,Assumptions!$C$94:$M$94,Assumptions!$C$98:$M$98))))</f>
        <v>-44432.72577</v>
      </c>
      <c r="CR33" s="54">
        <f t="array" ref="CR33">-(IF(CR$2=1,Assumptions!$AF34/12,-(SUMIF($D$2:$EE$2,CR$2-1,$D33:$EE33)/12)*(1+XLOOKUP(CR$2,Assumptions!$C$94:$M$94,Assumptions!$C$98:$M$98))))</f>
        <v>-44432.72577</v>
      </c>
      <c r="CS33" s="54">
        <f t="array" ref="CS33">-(IF(CS$2=1,Assumptions!$AF34/12,-(SUMIF($D$2:$EE$2,CS$2-1,$D33:$EE33)/12)*(1+XLOOKUP(CS$2,Assumptions!$C$94:$M$94,Assumptions!$C$98:$M$98))))</f>
        <v>-44432.72577</v>
      </c>
      <c r="CT33" s="54">
        <f t="array" ref="CT33">-(IF(CT$2=1,Assumptions!$AF34/12,-(SUMIF($D$2:$EE$2,CT$2-1,$D33:$EE33)/12)*(1+XLOOKUP(CT$2,Assumptions!$C$94:$M$94,Assumptions!$C$98:$M$98))))</f>
        <v>-44432.72577</v>
      </c>
      <c r="CU33" s="54">
        <f t="array" ref="CU33">-(IF(CU$2=1,Assumptions!$AF34/12,-(SUMIF($D$2:$EE$2,CU$2-1,$D33:$EE33)/12)*(1+XLOOKUP(CU$2,Assumptions!$C$94:$M$94,Assumptions!$C$98:$M$98))))</f>
        <v>-44432.72577</v>
      </c>
      <c r="CV33" s="54">
        <f t="array" ref="CV33">-(IF(CV$2=1,Assumptions!$AF34/12,-(SUMIF($D$2:$EE$2,CV$2-1,$D33:$EE33)/12)*(1+XLOOKUP(CV$2,Assumptions!$C$94:$M$94,Assumptions!$C$98:$M$98))))</f>
        <v>-45765.70754</v>
      </c>
      <c r="CW33" s="54">
        <f t="array" ref="CW33">-(IF(CW$2=1,Assumptions!$AF34/12,-(SUMIF($D$2:$EE$2,CW$2-1,$D33:$EE33)/12)*(1+XLOOKUP(CW$2,Assumptions!$C$94:$M$94,Assumptions!$C$98:$M$98))))</f>
        <v>-45765.70754</v>
      </c>
      <c r="CX33" s="54">
        <f t="array" ref="CX33">-(IF(CX$2=1,Assumptions!$AF34/12,-(SUMIF($D$2:$EE$2,CX$2-1,$D33:$EE33)/12)*(1+XLOOKUP(CX$2,Assumptions!$C$94:$M$94,Assumptions!$C$98:$M$98))))</f>
        <v>-45765.70754</v>
      </c>
      <c r="CY33" s="54">
        <f t="array" ref="CY33">-(IF(CY$2=1,Assumptions!$AF34/12,-(SUMIF($D$2:$EE$2,CY$2-1,$D33:$EE33)/12)*(1+XLOOKUP(CY$2,Assumptions!$C$94:$M$94,Assumptions!$C$98:$M$98))))</f>
        <v>-45765.70754</v>
      </c>
      <c r="CZ33" s="54">
        <f t="array" ref="CZ33">-(IF(CZ$2=1,Assumptions!$AF34/12,-(SUMIF($D$2:$EE$2,CZ$2-1,$D33:$EE33)/12)*(1+XLOOKUP(CZ$2,Assumptions!$C$94:$M$94,Assumptions!$C$98:$M$98))))</f>
        <v>-45765.70754</v>
      </c>
      <c r="DA33" s="54">
        <f t="array" ref="DA33">-(IF(DA$2=1,Assumptions!$AF34/12,-(SUMIF($D$2:$EE$2,DA$2-1,$D33:$EE33)/12)*(1+XLOOKUP(DA$2,Assumptions!$C$94:$M$94,Assumptions!$C$98:$M$98))))</f>
        <v>-45765.70754</v>
      </c>
      <c r="DB33" s="54">
        <f t="array" ref="DB33">-(IF(DB$2=1,Assumptions!$AF34/12,-(SUMIF($D$2:$EE$2,DB$2-1,$D33:$EE33)/12)*(1+XLOOKUP(DB$2,Assumptions!$C$94:$M$94,Assumptions!$C$98:$M$98))))</f>
        <v>-45765.70754</v>
      </c>
      <c r="DC33" s="54">
        <f t="array" ref="DC33">-(IF(DC$2=1,Assumptions!$AF34/12,-(SUMIF($D$2:$EE$2,DC$2-1,$D33:$EE33)/12)*(1+XLOOKUP(DC$2,Assumptions!$C$94:$M$94,Assumptions!$C$98:$M$98))))</f>
        <v>-45765.70754</v>
      </c>
      <c r="DD33" s="54">
        <f t="array" ref="DD33">-(IF(DD$2=1,Assumptions!$AF34/12,-(SUMIF($D$2:$EE$2,DD$2-1,$D33:$EE33)/12)*(1+XLOOKUP(DD$2,Assumptions!$C$94:$M$94,Assumptions!$C$98:$M$98))))</f>
        <v>-45765.70754</v>
      </c>
      <c r="DE33" s="54">
        <f t="array" ref="DE33">-(IF(DE$2=1,Assumptions!$AF34/12,-(SUMIF($D$2:$EE$2,DE$2-1,$D33:$EE33)/12)*(1+XLOOKUP(DE$2,Assumptions!$C$94:$M$94,Assumptions!$C$98:$M$98))))</f>
        <v>-45765.70754</v>
      </c>
      <c r="DF33" s="54">
        <f t="array" ref="DF33">-(IF(DF$2=1,Assumptions!$AF34/12,-(SUMIF($D$2:$EE$2,DF$2-1,$D33:$EE33)/12)*(1+XLOOKUP(DF$2,Assumptions!$C$94:$M$94,Assumptions!$C$98:$M$98))))</f>
        <v>-45765.70754</v>
      </c>
      <c r="DG33" s="54">
        <f t="array" ref="DG33">-(IF(DG$2=1,Assumptions!$AF34/12,-(SUMIF($D$2:$EE$2,DG$2-1,$D33:$EE33)/12)*(1+XLOOKUP(DG$2,Assumptions!$C$94:$M$94,Assumptions!$C$98:$M$98))))</f>
        <v>-45765.70754</v>
      </c>
      <c r="DH33" s="54">
        <f t="array" ref="DH33">-(IF(DH$2=1,Assumptions!$AF34/12,-(SUMIF($D$2:$EE$2,DH$2-1,$D33:$EE33)/12)*(1+XLOOKUP(DH$2,Assumptions!$C$94:$M$94,Assumptions!$C$98:$M$98))))</f>
        <v>-47138.67877</v>
      </c>
      <c r="DI33" s="54">
        <f t="array" ref="DI33">-(IF(DI$2=1,Assumptions!$AF34/12,-(SUMIF($D$2:$EE$2,DI$2-1,$D33:$EE33)/12)*(1+XLOOKUP(DI$2,Assumptions!$C$94:$M$94,Assumptions!$C$98:$M$98))))</f>
        <v>-47138.67877</v>
      </c>
      <c r="DJ33" s="54">
        <f t="array" ref="DJ33">-(IF(DJ$2=1,Assumptions!$AF34/12,-(SUMIF($D$2:$EE$2,DJ$2-1,$D33:$EE33)/12)*(1+XLOOKUP(DJ$2,Assumptions!$C$94:$M$94,Assumptions!$C$98:$M$98))))</f>
        <v>-47138.67877</v>
      </c>
      <c r="DK33" s="54">
        <f t="array" ref="DK33">-(IF(DK$2=1,Assumptions!$AF34/12,-(SUMIF($D$2:$EE$2,DK$2-1,$D33:$EE33)/12)*(1+XLOOKUP(DK$2,Assumptions!$C$94:$M$94,Assumptions!$C$98:$M$98))))</f>
        <v>-47138.67877</v>
      </c>
      <c r="DL33" s="54">
        <f t="array" ref="DL33">-(IF(DL$2=1,Assumptions!$AF34/12,-(SUMIF($D$2:$EE$2,DL$2-1,$D33:$EE33)/12)*(1+XLOOKUP(DL$2,Assumptions!$C$94:$M$94,Assumptions!$C$98:$M$98))))</f>
        <v>-47138.67877</v>
      </c>
      <c r="DM33" s="54">
        <f t="array" ref="DM33">-(IF(DM$2=1,Assumptions!$AF34/12,-(SUMIF($D$2:$EE$2,DM$2-1,$D33:$EE33)/12)*(1+XLOOKUP(DM$2,Assumptions!$C$94:$M$94,Assumptions!$C$98:$M$98))))</f>
        <v>-47138.67877</v>
      </c>
      <c r="DN33" s="54">
        <f t="array" ref="DN33">-(IF(DN$2=1,Assumptions!$AF34/12,-(SUMIF($D$2:$EE$2,DN$2-1,$D33:$EE33)/12)*(1+XLOOKUP(DN$2,Assumptions!$C$94:$M$94,Assumptions!$C$98:$M$98))))</f>
        <v>-47138.67877</v>
      </c>
      <c r="DO33" s="54">
        <f t="array" ref="DO33">-(IF(DO$2=1,Assumptions!$AF34/12,-(SUMIF($D$2:$EE$2,DO$2-1,$D33:$EE33)/12)*(1+XLOOKUP(DO$2,Assumptions!$C$94:$M$94,Assumptions!$C$98:$M$98))))</f>
        <v>-47138.67877</v>
      </c>
      <c r="DP33" s="54">
        <f t="array" ref="DP33">-(IF(DP$2=1,Assumptions!$AF34/12,-(SUMIF($D$2:$EE$2,DP$2-1,$D33:$EE33)/12)*(1+XLOOKUP(DP$2,Assumptions!$C$94:$M$94,Assumptions!$C$98:$M$98))))</f>
        <v>-47138.67877</v>
      </c>
      <c r="DQ33" s="54">
        <f t="array" ref="DQ33">-(IF(DQ$2=1,Assumptions!$AF34/12,-(SUMIF($D$2:$EE$2,DQ$2-1,$D33:$EE33)/12)*(1+XLOOKUP(DQ$2,Assumptions!$C$94:$M$94,Assumptions!$C$98:$M$98))))</f>
        <v>-47138.67877</v>
      </c>
      <c r="DR33" s="54">
        <f t="array" ref="DR33">-(IF(DR$2=1,Assumptions!$AF34/12,-(SUMIF($D$2:$EE$2,DR$2-1,$D33:$EE33)/12)*(1+XLOOKUP(DR$2,Assumptions!$C$94:$M$94,Assumptions!$C$98:$M$98))))</f>
        <v>-47138.67877</v>
      </c>
      <c r="DS33" s="54">
        <f t="array" ref="DS33">-(IF(DS$2=1,Assumptions!$AF34/12,-(SUMIF($D$2:$EE$2,DS$2-1,$D33:$EE33)/12)*(1+XLOOKUP(DS$2,Assumptions!$C$94:$M$94,Assumptions!$C$98:$M$98))))</f>
        <v>-47138.67877</v>
      </c>
      <c r="DT33" s="54">
        <f t="array" ref="DT33">-(IF(DT$2=1,Assumptions!$AF34/12,-(SUMIF($D$2:$EE$2,DT$2-1,$D33:$EE33)/12)*(1+XLOOKUP(DT$2,Assumptions!$C$94:$M$94,Assumptions!$C$98:$M$98))))</f>
        <v>-48552.83913</v>
      </c>
      <c r="DU33" s="54">
        <f t="array" ref="DU33">-(IF(DU$2=1,Assumptions!$AF34/12,-(SUMIF($D$2:$EE$2,DU$2-1,$D33:$EE33)/12)*(1+XLOOKUP(DU$2,Assumptions!$C$94:$M$94,Assumptions!$C$98:$M$98))))</f>
        <v>-48552.83913</v>
      </c>
      <c r="DV33" s="54">
        <f t="array" ref="DV33">-(IF(DV$2=1,Assumptions!$AF34/12,-(SUMIF($D$2:$EE$2,DV$2-1,$D33:$EE33)/12)*(1+XLOOKUP(DV$2,Assumptions!$C$94:$M$94,Assumptions!$C$98:$M$98))))</f>
        <v>-48552.83913</v>
      </c>
      <c r="DW33" s="54">
        <f t="array" ref="DW33">-(IF(DW$2=1,Assumptions!$AF34/12,-(SUMIF($D$2:$EE$2,DW$2-1,$D33:$EE33)/12)*(1+XLOOKUP(DW$2,Assumptions!$C$94:$M$94,Assumptions!$C$98:$M$98))))</f>
        <v>-48552.83913</v>
      </c>
      <c r="DX33" s="54">
        <f t="array" ref="DX33">-(IF(DX$2=1,Assumptions!$AF34/12,-(SUMIF($D$2:$EE$2,DX$2-1,$D33:$EE33)/12)*(1+XLOOKUP(DX$2,Assumptions!$C$94:$M$94,Assumptions!$C$98:$M$98))))</f>
        <v>-48552.83913</v>
      </c>
      <c r="DY33" s="54">
        <f t="array" ref="DY33">-(IF(DY$2=1,Assumptions!$AF34/12,-(SUMIF($D$2:$EE$2,DY$2-1,$D33:$EE33)/12)*(1+XLOOKUP(DY$2,Assumptions!$C$94:$M$94,Assumptions!$C$98:$M$98))))</f>
        <v>-48552.83913</v>
      </c>
      <c r="DZ33" s="54">
        <f t="array" ref="DZ33">-(IF(DZ$2=1,Assumptions!$AF34/12,-(SUMIF($D$2:$EE$2,DZ$2-1,$D33:$EE33)/12)*(1+XLOOKUP(DZ$2,Assumptions!$C$94:$M$94,Assumptions!$C$98:$M$98))))</f>
        <v>-48552.83913</v>
      </c>
      <c r="EA33" s="54">
        <f t="array" ref="EA33">-(IF(EA$2=1,Assumptions!$AF34/12,-(SUMIF($D$2:$EE$2,EA$2-1,$D33:$EE33)/12)*(1+XLOOKUP(EA$2,Assumptions!$C$94:$M$94,Assumptions!$C$98:$M$98))))</f>
        <v>-48552.83913</v>
      </c>
      <c r="EB33" s="54">
        <f t="array" ref="EB33">-(IF(EB$2=1,Assumptions!$AF34/12,-(SUMIF($D$2:$EE$2,EB$2-1,$D33:$EE33)/12)*(1+XLOOKUP(EB$2,Assumptions!$C$94:$M$94,Assumptions!$C$98:$M$98))))</f>
        <v>-48552.83913</v>
      </c>
      <c r="EC33" s="54">
        <f t="array" ref="EC33">-(IF(EC$2=1,Assumptions!$AF34/12,-(SUMIF($D$2:$EE$2,EC$2-1,$D33:$EE33)/12)*(1+XLOOKUP(EC$2,Assumptions!$C$94:$M$94,Assumptions!$C$98:$M$98))))</f>
        <v>-48552.83913</v>
      </c>
      <c r="ED33" s="54">
        <f t="array" ref="ED33">-(IF(ED$2=1,Assumptions!$AF34/12,-(SUMIF($D$2:$EE$2,ED$2-1,$D33:$EE33)/12)*(1+XLOOKUP(ED$2,Assumptions!$C$94:$M$94,Assumptions!$C$98:$M$98))))</f>
        <v>-48552.83913</v>
      </c>
      <c r="EE33" s="54">
        <f t="array" ref="EE33">-(IF(EE$2=1,Assumptions!$AF34/12,-(SUMIF($D$2:$EE$2,EE$2-1,$D33:$EE33)/12)*(1+XLOOKUP(EE$2,Assumptions!$C$94:$M$94,Assumptions!$C$98:$M$98))))</f>
        <v>-48552.83913</v>
      </c>
    </row>
    <row r="34" ht="15.75" customHeight="1">
      <c r="A34" s="1"/>
      <c r="B34" s="1"/>
      <c r="C34" s="1" t="str">
        <f>Assumptions!J35</f>
        <v>Insurance</v>
      </c>
      <c r="D34" s="54">
        <f t="array" ref="D34">-(IF(D$2=1,Assumptions!$AF35/12,-(SUMIF($D$2:$EE$2,D$2-1,$D34:$EE34)/12)*(1+XLOOKUP(D$2,Assumptions!$C$94:$M$94,Assumptions!$C$98:$M$98))))</f>
        <v>-11120.29715</v>
      </c>
      <c r="E34" s="54">
        <f t="array" ref="E34">-(IF(E$2=1,Assumptions!$AF35/12,-(SUMIF($D$2:$EE$2,E$2-1,$D34:$EE34)/12)*(1+XLOOKUP(E$2,Assumptions!$C$94:$M$94,Assumptions!$C$98:$M$98))))</f>
        <v>-11120.29715</v>
      </c>
      <c r="F34" s="54">
        <f t="array" ref="F34">-(IF(F$2=1,Assumptions!$AF35/12,-(SUMIF($D$2:$EE$2,F$2-1,$D34:$EE34)/12)*(1+XLOOKUP(F$2,Assumptions!$C$94:$M$94,Assumptions!$C$98:$M$98))))</f>
        <v>-11120.29715</v>
      </c>
      <c r="G34" s="54">
        <f t="array" ref="G34">-(IF(G$2=1,Assumptions!$AF35/12,-(SUMIF($D$2:$EE$2,G$2-1,$D34:$EE34)/12)*(1+XLOOKUP(G$2,Assumptions!$C$94:$M$94,Assumptions!$C$98:$M$98))))</f>
        <v>-11120.29715</v>
      </c>
      <c r="H34" s="54">
        <f t="array" ref="H34">-(IF(H$2=1,Assumptions!$AF35/12,-(SUMIF($D$2:$EE$2,H$2-1,$D34:$EE34)/12)*(1+XLOOKUP(H$2,Assumptions!$C$94:$M$94,Assumptions!$C$98:$M$98))))</f>
        <v>-11120.29715</v>
      </c>
      <c r="I34" s="54">
        <f t="array" ref="I34">-(IF(I$2=1,Assumptions!$AF35/12,-(SUMIF($D$2:$EE$2,I$2-1,$D34:$EE34)/12)*(1+XLOOKUP(I$2,Assumptions!$C$94:$M$94,Assumptions!$C$98:$M$98))))</f>
        <v>-11120.29715</v>
      </c>
      <c r="J34" s="54">
        <f t="array" ref="J34">-(IF(J$2=1,Assumptions!$AF35/12,-(SUMIF($D$2:$EE$2,J$2-1,$D34:$EE34)/12)*(1+XLOOKUP(J$2,Assumptions!$C$94:$M$94,Assumptions!$C$98:$M$98))))</f>
        <v>-11120.29715</v>
      </c>
      <c r="K34" s="54">
        <f t="array" ref="K34">-(IF(K$2=1,Assumptions!$AF35/12,-(SUMIF($D$2:$EE$2,K$2-1,$D34:$EE34)/12)*(1+XLOOKUP(K$2,Assumptions!$C$94:$M$94,Assumptions!$C$98:$M$98))))</f>
        <v>-11120.29715</v>
      </c>
      <c r="L34" s="54">
        <f t="array" ref="L34">-(IF(L$2=1,Assumptions!$AF35/12,-(SUMIF($D$2:$EE$2,L$2-1,$D34:$EE34)/12)*(1+XLOOKUP(L$2,Assumptions!$C$94:$M$94,Assumptions!$C$98:$M$98))))</f>
        <v>-11120.29715</v>
      </c>
      <c r="M34" s="54">
        <f t="array" ref="M34">-(IF(M$2=1,Assumptions!$AF35/12,-(SUMIF($D$2:$EE$2,M$2-1,$D34:$EE34)/12)*(1+XLOOKUP(M$2,Assumptions!$C$94:$M$94,Assumptions!$C$98:$M$98))))</f>
        <v>-11120.29715</v>
      </c>
      <c r="N34" s="54">
        <f t="array" ref="N34">-(IF(N$2=1,Assumptions!$AF35/12,-(SUMIF($D$2:$EE$2,N$2-1,$D34:$EE34)/12)*(1+XLOOKUP(N$2,Assumptions!$C$94:$M$94,Assumptions!$C$98:$M$98))))</f>
        <v>-11120.29715</v>
      </c>
      <c r="O34" s="54">
        <f t="array" ref="O34">-(IF(O$2=1,Assumptions!$AF35/12,-(SUMIF($D$2:$EE$2,O$2-1,$D34:$EE34)/12)*(1+XLOOKUP(O$2,Assumptions!$C$94:$M$94,Assumptions!$C$98:$M$98))))</f>
        <v>-11120.29715</v>
      </c>
      <c r="P34" s="54">
        <f t="array" ref="P34">-(IF(P$2=1,Assumptions!$AF35/12,-(SUMIF($D$2:$EE$2,P$2-1,$D34:$EE34)/12)*(1+XLOOKUP(P$2,Assumptions!$C$94:$M$94,Assumptions!$C$98:$M$98))))</f>
        <v>-11453.90606</v>
      </c>
      <c r="Q34" s="54">
        <f t="array" ref="Q34">-(IF(Q$2=1,Assumptions!$AF35/12,-(SUMIF($D$2:$EE$2,Q$2-1,$D34:$EE34)/12)*(1+XLOOKUP(Q$2,Assumptions!$C$94:$M$94,Assumptions!$C$98:$M$98))))</f>
        <v>-11453.90606</v>
      </c>
      <c r="R34" s="54">
        <f t="array" ref="R34">-(IF(R$2=1,Assumptions!$AF35/12,-(SUMIF($D$2:$EE$2,R$2-1,$D34:$EE34)/12)*(1+XLOOKUP(R$2,Assumptions!$C$94:$M$94,Assumptions!$C$98:$M$98))))</f>
        <v>-11453.90606</v>
      </c>
      <c r="S34" s="54">
        <f t="array" ref="S34">-(IF(S$2=1,Assumptions!$AF35/12,-(SUMIF($D$2:$EE$2,S$2-1,$D34:$EE34)/12)*(1+XLOOKUP(S$2,Assumptions!$C$94:$M$94,Assumptions!$C$98:$M$98))))</f>
        <v>-11453.90606</v>
      </c>
      <c r="T34" s="54">
        <f t="array" ref="T34">-(IF(T$2=1,Assumptions!$AF35/12,-(SUMIF($D$2:$EE$2,T$2-1,$D34:$EE34)/12)*(1+XLOOKUP(T$2,Assumptions!$C$94:$M$94,Assumptions!$C$98:$M$98))))</f>
        <v>-11453.90606</v>
      </c>
      <c r="U34" s="54">
        <f t="array" ref="U34">-(IF(U$2=1,Assumptions!$AF35/12,-(SUMIF($D$2:$EE$2,U$2-1,$D34:$EE34)/12)*(1+XLOOKUP(U$2,Assumptions!$C$94:$M$94,Assumptions!$C$98:$M$98))))</f>
        <v>-11453.90606</v>
      </c>
      <c r="V34" s="54">
        <f t="array" ref="V34">-(IF(V$2=1,Assumptions!$AF35/12,-(SUMIF($D$2:$EE$2,V$2-1,$D34:$EE34)/12)*(1+XLOOKUP(V$2,Assumptions!$C$94:$M$94,Assumptions!$C$98:$M$98))))</f>
        <v>-11453.90606</v>
      </c>
      <c r="W34" s="54">
        <f t="array" ref="W34">-(IF(W$2=1,Assumptions!$AF35/12,-(SUMIF($D$2:$EE$2,W$2-1,$D34:$EE34)/12)*(1+XLOOKUP(W$2,Assumptions!$C$94:$M$94,Assumptions!$C$98:$M$98))))</f>
        <v>-11453.90606</v>
      </c>
      <c r="X34" s="54">
        <f t="array" ref="X34">-(IF(X$2=1,Assumptions!$AF35/12,-(SUMIF($D$2:$EE$2,X$2-1,$D34:$EE34)/12)*(1+XLOOKUP(X$2,Assumptions!$C$94:$M$94,Assumptions!$C$98:$M$98))))</f>
        <v>-11453.90606</v>
      </c>
      <c r="Y34" s="54">
        <f t="array" ref="Y34">-(IF(Y$2=1,Assumptions!$AF35/12,-(SUMIF($D$2:$EE$2,Y$2-1,$D34:$EE34)/12)*(1+XLOOKUP(Y$2,Assumptions!$C$94:$M$94,Assumptions!$C$98:$M$98))))</f>
        <v>-11453.90606</v>
      </c>
      <c r="Z34" s="54">
        <f t="array" ref="Z34">-(IF(Z$2=1,Assumptions!$AF35/12,-(SUMIF($D$2:$EE$2,Z$2-1,$D34:$EE34)/12)*(1+XLOOKUP(Z$2,Assumptions!$C$94:$M$94,Assumptions!$C$98:$M$98))))</f>
        <v>-11453.90606</v>
      </c>
      <c r="AA34" s="54">
        <f t="array" ref="AA34">-(IF(AA$2=1,Assumptions!$AF35/12,-(SUMIF($D$2:$EE$2,AA$2-1,$D34:$EE34)/12)*(1+XLOOKUP(AA$2,Assumptions!$C$94:$M$94,Assumptions!$C$98:$M$98))))</f>
        <v>-11453.90606</v>
      </c>
      <c r="AB34" s="54">
        <f t="array" ref="AB34">-(IF(AB$2=1,Assumptions!$AF35/12,-(SUMIF($D$2:$EE$2,AB$2-1,$D34:$EE34)/12)*(1+XLOOKUP(AB$2,Assumptions!$C$94:$M$94,Assumptions!$C$98:$M$98))))</f>
        <v>-11797.52325</v>
      </c>
      <c r="AC34" s="54">
        <f t="array" ref="AC34">-(IF(AC$2=1,Assumptions!$AF35/12,-(SUMIF($D$2:$EE$2,AC$2-1,$D34:$EE34)/12)*(1+XLOOKUP(AC$2,Assumptions!$C$94:$M$94,Assumptions!$C$98:$M$98))))</f>
        <v>-11797.52325</v>
      </c>
      <c r="AD34" s="54">
        <f t="array" ref="AD34">-(IF(AD$2=1,Assumptions!$AF35/12,-(SUMIF($D$2:$EE$2,AD$2-1,$D34:$EE34)/12)*(1+XLOOKUP(AD$2,Assumptions!$C$94:$M$94,Assumptions!$C$98:$M$98))))</f>
        <v>-11797.52325</v>
      </c>
      <c r="AE34" s="54">
        <f t="array" ref="AE34">-(IF(AE$2=1,Assumptions!$AF35/12,-(SUMIF($D$2:$EE$2,AE$2-1,$D34:$EE34)/12)*(1+XLOOKUP(AE$2,Assumptions!$C$94:$M$94,Assumptions!$C$98:$M$98))))</f>
        <v>-11797.52325</v>
      </c>
      <c r="AF34" s="54">
        <f t="array" ref="AF34">-(IF(AF$2=1,Assumptions!$AF35/12,-(SUMIF($D$2:$EE$2,AF$2-1,$D34:$EE34)/12)*(1+XLOOKUP(AF$2,Assumptions!$C$94:$M$94,Assumptions!$C$98:$M$98))))</f>
        <v>-11797.52325</v>
      </c>
      <c r="AG34" s="54">
        <f t="array" ref="AG34">-(IF(AG$2=1,Assumptions!$AF35/12,-(SUMIF($D$2:$EE$2,AG$2-1,$D34:$EE34)/12)*(1+XLOOKUP(AG$2,Assumptions!$C$94:$M$94,Assumptions!$C$98:$M$98))))</f>
        <v>-11797.52325</v>
      </c>
      <c r="AH34" s="54">
        <f t="array" ref="AH34">-(IF(AH$2=1,Assumptions!$AF35/12,-(SUMIF($D$2:$EE$2,AH$2-1,$D34:$EE34)/12)*(1+XLOOKUP(AH$2,Assumptions!$C$94:$M$94,Assumptions!$C$98:$M$98))))</f>
        <v>-11797.52325</v>
      </c>
      <c r="AI34" s="54">
        <f t="array" ref="AI34">-(IF(AI$2=1,Assumptions!$AF35/12,-(SUMIF($D$2:$EE$2,AI$2-1,$D34:$EE34)/12)*(1+XLOOKUP(AI$2,Assumptions!$C$94:$M$94,Assumptions!$C$98:$M$98))))</f>
        <v>-11797.52325</v>
      </c>
      <c r="AJ34" s="54">
        <f t="array" ref="AJ34">-(IF(AJ$2=1,Assumptions!$AF35/12,-(SUMIF($D$2:$EE$2,AJ$2-1,$D34:$EE34)/12)*(1+XLOOKUP(AJ$2,Assumptions!$C$94:$M$94,Assumptions!$C$98:$M$98))))</f>
        <v>-11797.52325</v>
      </c>
      <c r="AK34" s="54">
        <f t="array" ref="AK34">-(IF(AK$2=1,Assumptions!$AF35/12,-(SUMIF($D$2:$EE$2,AK$2-1,$D34:$EE34)/12)*(1+XLOOKUP(AK$2,Assumptions!$C$94:$M$94,Assumptions!$C$98:$M$98))))</f>
        <v>-11797.52325</v>
      </c>
      <c r="AL34" s="54">
        <f t="array" ref="AL34">-(IF(AL$2=1,Assumptions!$AF35/12,-(SUMIF($D$2:$EE$2,AL$2-1,$D34:$EE34)/12)*(1+XLOOKUP(AL$2,Assumptions!$C$94:$M$94,Assumptions!$C$98:$M$98))))</f>
        <v>-11797.52325</v>
      </c>
      <c r="AM34" s="54">
        <f t="array" ref="AM34">-(IF(AM$2=1,Assumptions!$AF35/12,-(SUMIF($D$2:$EE$2,AM$2-1,$D34:$EE34)/12)*(1+XLOOKUP(AM$2,Assumptions!$C$94:$M$94,Assumptions!$C$98:$M$98))))</f>
        <v>-11797.52325</v>
      </c>
      <c r="AN34" s="54">
        <f t="array" ref="AN34">-(IF(AN$2=1,Assumptions!$AF35/12,-(SUMIF($D$2:$EE$2,AN$2-1,$D34:$EE34)/12)*(1+XLOOKUP(AN$2,Assumptions!$C$94:$M$94,Assumptions!$C$98:$M$98))))</f>
        <v>-12151.44894</v>
      </c>
      <c r="AO34" s="54">
        <f t="array" ref="AO34">-(IF(AO$2=1,Assumptions!$AF35/12,-(SUMIF($D$2:$EE$2,AO$2-1,$D34:$EE34)/12)*(1+XLOOKUP(AO$2,Assumptions!$C$94:$M$94,Assumptions!$C$98:$M$98))))</f>
        <v>-12151.44894</v>
      </c>
      <c r="AP34" s="54">
        <f t="array" ref="AP34">-(IF(AP$2=1,Assumptions!$AF35/12,-(SUMIF($D$2:$EE$2,AP$2-1,$D34:$EE34)/12)*(1+XLOOKUP(AP$2,Assumptions!$C$94:$M$94,Assumptions!$C$98:$M$98))))</f>
        <v>-12151.44894</v>
      </c>
      <c r="AQ34" s="54">
        <f t="array" ref="AQ34">-(IF(AQ$2=1,Assumptions!$AF35/12,-(SUMIF($D$2:$EE$2,AQ$2-1,$D34:$EE34)/12)*(1+XLOOKUP(AQ$2,Assumptions!$C$94:$M$94,Assumptions!$C$98:$M$98))))</f>
        <v>-12151.44894</v>
      </c>
      <c r="AR34" s="54">
        <f t="array" ref="AR34">-(IF(AR$2=1,Assumptions!$AF35/12,-(SUMIF($D$2:$EE$2,AR$2-1,$D34:$EE34)/12)*(1+XLOOKUP(AR$2,Assumptions!$C$94:$M$94,Assumptions!$C$98:$M$98))))</f>
        <v>-12151.44894</v>
      </c>
      <c r="AS34" s="54">
        <f t="array" ref="AS34">-(IF(AS$2=1,Assumptions!$AF35/12,-(SUMIF($D$2:$EE$2,AS$2-1,$D34:$EE34)/12)*(1+XLOOKUP(AS$2,Assumptions!$C$94:$M$94,Assumptions!$C$98:$M$98))))</f>
        <v>-12151.44894</v>
      </c>
      <c r="AT34" s="54">
        <f t="array" ref="AT34">-(IF(AT$2=1,Assumptions!$AF35/12,-(SUMIF($D$2:$EE$2,AT$2-1,$D34:$EE34)/12)*(1+XLOOKUP(AT$2,Assumptions!$C$94:$M$94,Assumptions!$C$98:$M$98))))</f>
        <v>-12151.44894</v>
      </c>
      <c r="AU34" s="54">
        <f t="array" ref="AU34">-(IF(AU$2=1,Assumptions!$AF35/12,-(SUMIF($D$2:$EE$2,AU$2-1,$D34:$EE34)/12)*(1+XLOOKUP(AU$2,Assumptions!$C$94:$M$94,Assumptions!$C$98:$M$98))))</f>
        <v>-12151.44894</v>
      </c>
      <c r="AV34" s="54">
        <f t="array" ref="AV34">-(IF(AV$2=1,Assumptions!$AF35/12,-(SUMIF($D$2:$EE$2,AV$2-1,$D34:$EE34)/12)*(1+XLOOKUP(AV$2,Assumptions!$C$94:$M$94,Assumptions!$C$98:$M$98))))</f>
        <v>-12151.44894</v>
      </c>
      <c r="AW34" s="54">
        <f t="array" ref="AW34">-(IF(AW$2=1,Assumptions!$AF35/12,-(SUMIF($D$2:$EE$2,AW$2-1,$D34:$EE34)/12)*(1+XLOOKUP(AW$2,Assumptions!$C$94:$M$94,Assumptions!$C$98:$M$98))))</f>
        <v>-12151.44894</v>
      </c>
      <c r="AX34" s="54">
        <f t="array" ref="AX34">-(IF(AX$2=1,Assumptions!$AF35/12,-(SUMIF($D$2:$EE$2,AX$2-1,$D34:$EE34)/12)*(1+XLOOKUP(AX$2,Assumptions!$C$94:$M$94,Assumptions!$C$98:$M$98))))</f>
        <v>-12151.44894</v>
      </c>
      <c r="AY34" s="54">
        <f t="array" ref="AY34">-(IF(AY$2=1,Assumptions!$AF35/12,-(SUMIF($D$2:$EE$2,AY$2-1,$D34:$EE34)/12)*(1+XLOOKUP(AY$2,Assumptions!$C$94:$M$94,Assumptions!$C$98:$M$98))))</f>
        <v>-12151.44894</v>
      </c>
      <c r="AZ34" s="54">
        <f t="array" ref="AZ34">-(IF(AZ$2=1,Assumptions!$AF35/12,-(SUMIF($D$2:$EE$2,AZ$2-1,$D34:$EE34)/12)*(1+XLOOKUP(AZ$2,Assumptions!$C$94:$M$94,Assumptions!$C$98:$M$98))))</f>
        <v>-12515.99241</v>
      </c>
      <c r="BA34" s="54">
        <f t="array" ref="BA34">-(IF(BA$2=1,Assumptions!$AF35/12,-(SUMIF($D$2:$EE$2,BA$2-1,$D34:$EE34)/12)*(1+XLOOKUP(BA$2,Assumptions!$C$94:$M$94,Assumptions!$C$98:$M$98))))</f>
        <v>-12515.99241</v>
      </c>
      <c r="BB34" s="54">
        <f t="array" ref="BB34">-(IF(BB$2=1,Assumptions!$AF35/12,-(SUMIF($D$2:$EE$2,BB$2-1,$D34:$EE34)/12)*(1+XLOOKUP(BB$2,Assumptions!$C$94:$M$94,Assumptions!$C$98:$M$98))))</f>
        <v>-12515.99241</v>
      </c>
      <c r="BC34" s="54">
        <f t="array" ref="BC34">-(IF(BC$2=1,Assumptions!$AF35/12,-(SUMIF($D$2:$EE$2,BC$2-1,$D34:$EE34)/12)*(1+XLOOKUP(BC$2,Assumptions!$C$94:$M$94,Assumptions!$C$98:$M$98))))</f>
        <v>-12515.99241</v>
      </c>
      <c r="BD34" s="54">
        <f t="array" ref="BD34">-(IF(BD$2=1,Assumptions!$AF35/12,-(SUMIF($D$2:$EE$2,BD$2-1,$D34:$EE34)/12)*(1+XLOOKUP(BD$2,Assumptions!$C$94:$M$94,Assumptions!$C$98:$M$98))))</f>
        <v>-12515.99241</v>
      </c>
      <c r="BE34" s="54">
        <f t="array" ref="BE34">-(IF(BE$2=1,Assumptions!$AF35/12,-(SUMIF($D$2:$EE$2,BE$2-1,$D34:$EE34)/12)*(1+XLOOKUP(BE$2,Assumptions!$C$94:$M$94,Assumptions!$C$98:$M$98))))</f>
        <v>-12515.99241</v>
      </c>
      <c r="BF34" s="54">
        <f t="array" ref="BF34">-(IF(BF$2=1,Assumptions!$AF35/12,-(SUMIF($D$2:$EE$2,BF$2-1,$D34:$EE34)/12)*(1+XLOOKUP(BF$2,Assumptions!$C$94:$M$94,Assumptions!$C$98:$M$98))))</f>
        <v>-12515.99241</v>
      </c>
      <c r="BG34" s="54">
        <f t="array" ref="BG34">-(IF(BG$2=1,Assumptions!$AF35/12,-(SUMIF($D$2:$EE$2,BG$2-1,$D34:$EE34)/12)*(1+XLOOKUP(BG$2,Assumptions!$C$94:$M$94,Assumptions!$C$98:$M$98))))</f>
        <v>-12515.99241</v>
      </c>
      <c r="BH34" s="54">
        <f t="array" ref="BH34">-(IF(BH$2=1,Assumptions!$AF35/12,-(SUMIF($D$2:$EE$2,BH$2-1,$D34:$EE34)/12)*(1+XLOOKUP(BH$2,Assumptions!$C$94:$M$94,Assumptions!$C$98:$M$98))))</f>
        <v>-12515.99241</v>
      </c>
      <c r="BI34" s="54">
        <f t="array" ref="BI34">-(IF(BI$2=1,Assumptions!$AF35/12,-(SUMIF($D$2:$EE$2,BI$2-1,$D34:$EE34)/12)*(1+XLOOKUP(BI$2,Assumptions!$C$94:$M$94,Assumptions!$C$98:$M$98))))</f>
        <v>-12515.99241</v>
      </c>
      <c r="BJ34" s="54">
        <f t="array" ref="BJ34">-(IF(BJ$2=1,Assumptions!$AF35/12,-(SUMIF($D$2:$EE$2,BJ$2-1,$D34:$EE34)/12)*(1+XLOOKUP(BJ$2,Assumptions!$C$94:$M$94,Assumptions!$C$98:$M$98))))</f>
        <v>-12515.99241</v>
      </c>
      <c r="BK34" s="54">
        <f t="array" ref="BK34">-(IF(BK$2=1,Assumptions!$AF35/12,-(SUMIF($D$2:$EE$2,BK$2-1,$D34:$EE34)/12)*(1+XLOOKUP(BK$2,Assumptions!$C$94:$M$94,Assumptions!$C$98:$M$98))))</f>
        <v>-12515.99241</v>
      </c>
      <c r="BL34" s="54">
        <f t="array" ref="BL34">-(IF(BL$2=1,Assumptions!$AF35/12,-(SUMIF($D$2:$EE$2,BL$2-1,$D34:$EE34)/12)*(1+XLOOKUP(BL$2,Assumptions!$C$94:$M$94,Assumptions!$C$98:$M$98))))</f>
        <v>-12891.47218</v>
      </c>
      <c r="BM34" s="54">
        <f t="array" ref="BM34">-(IF(BM$2=1,Assumptions!$AF35/12,-(SUMIF($D$2:$EE$2,BM$2-1,$D34:$EE34)/12)*(1+XLOOKUP(BM$2,Assumptions!$C$94:$M$94,Assumptions!$C$98:$M$98))))</f>
        <v>-12891.47218</v>
      </c>
      <c r="BN34" s="54">
        <f t="array" ref="BN34">-(IF(BN$2=1,Assumptions!$AF35/12,-(SUMIF($D$2:$EE$2,BN$2-1,$D34:$EE34)/12)*(1+XLOOKUP(BN$2,Assumptions!$C$94:$M$94,Assumptions!$C$98:$M$98))))</f>
        <v>-12891.47218</v>
      </c>
      <c r="BO34" s="54">
        <f t="array" ref="BO34">-(IF(BO$2=1,Assumptions!$AF35/12,-(SUMIF($D$2:$EE$2,BO$2-1,$D34:$EE34)/12)*(1+XLOOKUP(BO$2,Assumptions!$C$94:$M$94,Assumptions!$C$98:$M$98))))</f>
        <v>-12891.47218</v>
      </c>
      <c r="BP34" s="54">
        <f t="array" ref="BP34">-(IF(BP$2=1,Assumptions!$AF35/12,-(SUMIF($D$2:$EE$2,BP$2-1,$D34:$EE34)/12)*(1+XLOOKUP(BP$2,Assumptions!$C$94:$M$94,Assumptions!$C$98:$M$98))))</f>
        <v>-12891.47218</v>
      </c>
      <c r="BQ34" s="54">
        <f t="array" ref="BQ34">-(IF(BQ$2=1,Assumptions!$AF35/12,-(SUMIF($D$2:$EE$2,BQ$2-1,$D34:$EE34)/12)*(1+XLOOKUP(BQ$2,Assumptions!$C$94:$M$94,Assumptions!$C$98:$M$98))))</f>
        <v>-12891.47218</v>
      </c>
      <c r="BR34" s="54">
        <f t="array" ref="BR34">-(IF(BR$2=1,Assumptions!$AF35/12,-(SUMIF($D$2:$EE$2,BR$2-1,$D34:$EE34)/12)*(1+XLOOKUP(BR$2,Assumptions!$C$94:$M$94,Assumptions!$C$98:$M$98))))</f>
        <v>-12891.47218</v>
      </c>
      <c r="BS34" s="54">
        <f t="array" ref="BS34">-(IF(BS$2=1,Assumptions!$AF35/12,-(SUMIF($D$2:$EE$2,BS$2-1,$D34:$EE34)/12)*(1+XLOOKUP(BS$2,Assumptions!$C$94:$M$94,Assumptions!$C$98:$M$98))))</f>
        <v>-12891.47218</v>
      </c>
      <c r="BT34" s="54">
        <f t="array" ref="BT34">-(IF(BT$2=1,Assumptions!$AF35/12,-(SUMIF($D$2:$EE$2,BT$2-1,$D34:$EE34)/12)*(1+XLOOKUP(BT$2,Assumptions!$C$94:$M$94,Assumptions!$C$98:$M$98))))</f>
        <v>-12891.47218</v>
      </c>
      <c r="BU34" s="54">
        <f t="array" ref="BU34">-(IF(BU$2=1,Assumptions!$AF35/12,-(SUMIF($D$2:$EE$2,BU$2-1,$D34:$EE34)/12)*(1+XLOOKUP(BU$2,Assumptions!$C$94:$M$94,Assumptions!$C$98:$M$98))))</f>
        <v>-12891.47218</v>
      </c>
      <c r="BV34" s="54">
        <f t="array" ref="BV34">-(IF(BV$2=1,Assumptions!$AF35/12,-(SUMIF($D$2:$EE$2,BV$2-1,$D34:$EE34)/12)*(1+XLOOKUP(BV$2,Assumptions!$C$94:$M$94,Assumptions!$C$98:$M$98))))</f>
        <v>-12891.47218</v>
      </c>
      <c r="BW34" s="54">
        <f t="array" ref="BW34">-(IF(BW$2=1,Assumptions!$AF35/12,-(SUMIF($D$2:$EE$2,BW$2-1,$D34:$EE34)/12)*(1+XLOOKUP(BW$2,Assumptions!$C$94:$M$94,Assumptions!$C$98:$M$98))))</f>
        <v>-12891.47218</v>
      </c>
      <c r="BX34" s="54">
        <f t="array" ref="BX34">-(IF(BX$2=1,Assumptions!$AF35/12,-(SUMIF($D$2:$EE$2,BX$2-1,$D34:$EE34)/12)*(1+XLOOKUP(BX$2,Assumptions!$C$94:$M$94,Assumptions!$C$98:$M$98))))</f>
        <v>-13278.21635</v>
      </c>
      <c r="BY34" s="54">
        <f t="array" ref="BY34">-(IF(BY$2=1,Assumptions!$AF35/12,-(SUMIF($D$2:$EE$2,BY$2-1,$D34:$EE34)/12)*(1+XLOOKUP(BY$2,Assumptions!$C$94:$M$94,Assumptions!$C$98:$M$98))))</f>
        <v>-13278.21635</v>
      </c>
      <c r="BZ34" s="54">
        <f t="array" ref="BZ34">-(IF(BZ$2=1,Assumptions!$AF35/12,-(SUMIF($D$2:$EE$2,BZ$2-1,$D34:$EE34)/12)*(1+XLOOKUP(BZ$2,Assumptions!$C$94:$M$94,Assumptions!$C$98:$M$98))))</f>
        <v>-13278.21635</v>
      </c>
      <c r="CA34" s="54">
        <f t="array" ref="CA34">-(IF(CA$2=1,Assumptions!$AF35/12,-(SUMIF($D$2:$EE$2,CA$2-1,$D34:$EE34)/12)*(1+XLOOKUP(CA$2,Assumptions!$C$94:$M$94,Assumptions!$C$98:$M$98))))</f>
        <v>-13278.21635</v>
      </c>
      <c r="CB34" s="54">
        <f t="array" ref="CB34">-(IF(CB$2=1,Assumptions!$AF35/12,-(SUMIF($D$2:$EE$2,CB$2-1,$D34:$EE34)/12)*(1+XLOOKUP(CB$2,Assumptions!$C$94:$M$94,Assumptions!$C$98:$M$98))))</f>
        <v>-13278.21635</v>
      </c>
      <c r="CC34" s="54">
        <f t="array" ref="CC34">-(IF(CC$2=1,Assumptions!$AF35/12,-(SUMIF($D$2:$EE$2,CC$2-1,$D34:$EE34)/12)*(1+XLOOKUP(CC$2,Assumptions!$C$94:$M$94,Assumptions!$C$98:$M$98))))</f>
        <v>-13278.21635</v>
      </c>
      <c r="CD34" s="54">
        <f t="array" ref="CD34">-(IF(CD$2=1,Assumptions!$AF35/12,-(SUMIF($D$2:$EE$2,CD$2-1,$D34:$EE34)/12)*(1+XLOOKUP(CD$2,Assumptions!$C$94:$M$94,Assumptions!$C$98:$M$98))))</f>
        <v>-13278.21635</v>
      </c>
      <c r="CE34" s="54">
        <f t="array" ref="CE34">-(IF(CE$2=1,Assumptions!$AF35/12,-(SUMIF($D$2:$EE$2,CE$2-1,$D34:$EE34)/12)*(1+XLOOKUP(CE$2,Assumptions!$C$94:$M$94,Assumptions!$C$98:$M$98))))</f>
        <v>-13278.21635</v>
      </c>
      <c r="CF34" s="54">
        <f t="array" ref="CF34">-(IF(CF$2=1,Assumptions!$AF35/12,-(SUMIF($D$2:$EE$2,CF$2-1,$D34:$EE34)/12)*(1+XLOOKUP(CF$2,Assumptions!$C$94:$M$94,Assumptions!$C$98:$M$98))))</f>
        <v>-13278.21635</v>
      </c>
      <c r="CG34" s="54">
        <f t="array" ref="CG34">-(IF(CG$2=1,Assumptions!$AF35/12,-(SUMIF($D$2:$EE$2,CG$2-1,$D34:$EE34)/12)*(1+XLOOKUP(CG$2,Assumptions!$C$94:$M$94,Assumptions!$C$98:$M$98))))</f>
        <v>-13278.21635</v>
      </c>
      <c r="CH34" s="54">
        <f t="array" ref="CH34">-(IF(CH$2=1,Assumptions!$AF35/12,-(SUMIF($D$2:$EE$2,CH$2-1,$D34:$EE34)/12)*(1+XLOOKUP(CH$2,Assumptions!$C$94:$M$94,Assumptions!$C$98:$M$98))))</f>
        <v>-13278.21635</v>
      </c>
      <c r="CI34" s="54">
        <f t="array" ref="CI34">-(IF(CI$2=1,Assumptions!$AF35/12,-(SUMIF($D$2:$EE$2,CI$2-1,$D34:$EE34)/12)*(1+XLOOKUP(CI$2,Assumptions!$C$94:$M$94,Assumptions!$C$98:$M$98))))</f>
        <v>-13278.21635</v>
      </c>
      <c r="CJ34" s="54">
        <f t="array" ref="CJ34">-(IF(CJ$2=1,Assumptions!$AF35/12,-(SUMIF($D$2:$EE$2,CJ$2-1,$D34:$EE34)/12)*(1+XLOOKUP(CJ$2,Assumptions!$C$94:$M$94,Assumptions!$C$98:$M$98))))</f>
        <v>-13676.56284</v>
      </c>
      <c r="CK34" s="54">
        <f t="array" ref="CK34">-(IF(CK$2=1,Assumptions!$AF35/12,-(SUMIF($D$2:$EE$2,CK$2-1,$D34:$EE34)/12)*(1+XLOOKUP(CK$2,Assumptions!$C$94:$M$94,Assumptions!$C$98:$M$98))))</f>
        <v>-13676.56284</v>
      </c>
      <c r="CL34" s="54">
        <f t="array" ref="CL34">-(IF(CL$2=1,Assumptions!$AF35/12,-(SUMIF($D$2:$EE$2,CL$2-1,$D34:$EE34)/12)*(1+XLOOKUP(CL$2,Assumptions!$C$94:$M$94,Assumptions!$C$98:$M$98))))</f>
        <v>-13676.56284</v>
      </c>
      <c r="CM34" s="54">
        <f t="array" ref="CM34">-(IF(CM$2=1,Assumptions!$AF35/12,-(SUMIF($D$2:$EE$2,CM$2-1,$D34:$EE34)/12)*(1+XLOOKUP(CM$2,Assumptions!$C$94:$M$94,Assumptions!$C$98:$M$98))))</f>
        <v>-13676.56284</v>
      </c>
      <c r="CN34" s="54">
        <f t="array" ref="CN34">-(IF(CN$2=1,Assumptions!$AF35/12,-(SUMIF($D$2:$EE$2,CN$2-1,$D34:$EE34)/12)*(1+XLOOKUP(CN$2,Assumptions!$C$94:$M$94,Assumptions!$C$98:$M$98))))</f>
        <v>-13676.56284</v>
      </c>
      <c r="CO34" s="54">
        <f t="array" ref="CO34">-(IF(CO$2=1,Assumptions!$AF35/12,-(SUMIF($D$2:$EE$2,CO$2-1,$D34:$EE34)/12)*(1+XLOOKUP(CO$2,Assumptions!$C$94:$M$94,Assumptions!$C$98:$M$98))))</f>
        <v>-13676.56284</v>
      </c>
      <c r="CP34" s="54">
        <f t="array" ref="CP34">-(IF(CP$2=1,Assumptions!$AF35/12,-(SUMIF($D$2:$EE$2,CP$2-1,$D34:$EE34)/12)*(1+XLOOKUP(CP$2,Assumptions!$C$94:$M$94,Assumptions!$C$98:$M$98))))</f>
        <v>-13676.56284</v>
      </c>
      <c r="CQ34" s="54">
        <f t="array" ref="CQ34">-(IF(CQ$2=1,Assumptions!$AF35/12,-(SUMIF($D$2:$EE$2,CQ$2-1,$D34:$EE34)/12)*(1+XLOOKUP(CQ$2,Assumptions!$C$94:$M$94,Assumptions!$C$98:$M$98))))</f>
        <v>-13676.56284</v>
      </c>
      <c r="CR34" s="54">
        <f t="array" ref="CR34">-(IF(CR$2=1,Assumptions!$AF35/12,-(SUMIF($D$2:$EE$2,CR$2-1,$D34:$EE34)/12)*(1+XLOOKUP(CR$2,Assumptions!$C$94:$M$94,Assumptions!$C$98:$M$98))))</f>
        <v>-13676.56284</v>
      </c>
      <c r="CS34" s="54">
        <f t="array" ref="CS34">-(IF(CS$2=1,Assumptions!$AF35/12,-(SUMIF($D$2:$EE$2,CS$2-1,$D34:$EE34)/12)*(1+XLOOKUP(CS$2,Assumptions!$C$94:$M$94,Assumptions!$C$98:$M$98))))</f>
        <v>-13676.56284</v>
      </c>
      <c r="CT34" s="54">
        <f t="array" ref="CT34">-(IF(CT$2=1,Assumptions!$AF35/12,-(SUMIF($D$2:$EE$2,CT$2-1,$D34:$EE34)/12)*(1+XLOOKUP(CT$2,Assumptions!$C$94:$M$94,Assumptions!$C$98:$M$98))))</f>
        <v>-13676.56284</v>
      </c>
      <c r="CU34" s="54">
        <f t="array" ref="CU34">-(IF(CU$2=1,Assumptions!$AF35/12,-(SUMIF($D$2:$EE$2,CU$2-1,$D34:$EE34)/12)*(1+XLOOKUP(CU$2,Assumptions!$C$94:$M$94,Assumptions!$C$98:$M$98))))</f>
        <v>-13676.56284</v>
      </c>
      <c r="CV34" s="54">
        <f t="array" ref="CV34">-(IF(CV$2=1,Assumptions!$AF35/12,-(SUMIF($D$2:$EE$2,CV$2-1,$D34:$EE34)/12)*(1+XLOOKUP(CV$2,Assumptions!$C$94:$M$94,Assumptions!$C$98:$M$98))))</f>
        <v>-14086.85973</v>
      </c>
      <c r="CW34" s="54">
        <f t="array" ref="CW34">-(IF(CW$2=1,Assumptions!$AF35/12,-(SUMIF($D$2:$EE$2,CW$2-1,$D34:$EE34)/12)*(1+XLOOKUP(CW$2,Assumptions!$C$94:$M$94,Assumptions!$C$98:$M$98))))</f>
        <v>-14086.85973</v>
      </c>
      <c r="CX34" s="54">
        <f t="array" ref="CX34">-(IF(CX$2=1,Assumptions!$AF35/12,-(SUMIF($D$2:$EE$2,CX$2-1,$D34:$EE34)/12)*(1+XLOOKUP(CX$2,Assumptions!$C$94:$M$94,Assumptions!$C$98:$M$98))))</f>
        <v>-14086.85973</v>
      </c>
      <c r="CY34" s="54">
        <f t="array" ref="CY34">-(IF(CY$2=1,Assumptions!$AF35/12,-(SUMIF($D$2:$EE$2,CY$2-1,$D34:$EE34)/12)*(1+XLOOKUP(CY$2,Assumptions!$C$94:$M$94,Assumptions!$C$98:$M$98))))</f>
        <v>-14086.85973</v>
      </c>
      <c r="CZ34" s="54">
        <f t="array" ref="CZ34">-(IF(CZ$2=1,Assumptions!$AF35/12,-(SUMIF($D$2:$EE$2,CZ$2-1,$D34:$EE34)/12)*(1+XLOOKUP(CZ$2,Assumptions!$C$94:$M$94,Assumptions!$C$98:$M$98))))</f>
        <v>-14086.85973</v>
      </c>
      <c r="DA34" s="54">
        <f t="array" ref="DA34">-(IF(DA$2=1,Assumptions!$AF35/12,-(SUMIF($D$2:$EE$2,DA$2-1,$D34:$EE34)/12)*(1+XLOOKUP(DA$2,Assumptions!$C$94:$M$94,Assumptions!$C$98:$M$98))))</f>
        <v>-14086.85973</v>
      </c>
      <c r="DB34" s="54">
        <f t="array" ref="DB34">-(IF(DB$2=1,Assumptions!$AF35/12,-(SUMIF($D$2:$EE$2,DB$2-1,$D34:$EE34)/12)*(1+XLOOKUP(DB$2,Assumptions!$C$94:$M$94,Assumptions!$C$98:$M$98))))</f>
        <v>-14086.85973</v>
      </c>
      <c r="DC34" s="54">
        <f t="array" ref="DC34">-(IF(DC$2=1,Assumptions!$AF35/12,-(SUMIF($D$2:$EE$2,DC$2-1,$D34:$EE34)/12)*(1+XLOOKUP(DC$2,Assumptions!$C$94:$M$94,Assumptions!$C$98:$M$98))))</f>
        <v>-14086.85973</v>
      </c>
      <c r="DD34" s="54">
        <f t="array" ref="DD34">-(IF(DD$2=1,Assumptions!$AF35/12,-(SUMIF($D$2:$EE$2,DD$2-1,$D34:$EE34)/12)*(1+XLOOKUP(DD$2,Assumptions!$C$94:$M$94,Assumptions!$C$98:$M$98))))</f>
        <v>-14086.85973</v>
      </c>
      <c r="DE34" s="54">
        <f t="array" ref="DE34">-(IF(DE$2=1,Assumptions!$AF35/12,-(SUMIF($D$2:$EE$2,DE$2-1,$D34:$EE34)/12)*(1+XLOOKUP(DE$2,Assumptions!$C$94:$M$94,Assumptions!$C$98:$M$98))))</f>
        <v>-14086.85973</v>
      </c>
      <c r="DF34" s="54">
        <f t="array" ref="DF34">-(IF(DF$2=1,Assumptions!$AF35/12,-(SUMIF($D$2:$EE$2,DF$2-1,$D34:$EE34)/12)*(1+XLOOKUP(DF$2,Assumptions!$C$94:$M$94,Assumptions!$C$98:$M$98))))</f>
        <v>-14086.85973</v>
      </c>
      <c r="DG34" s="54">
        <f t="array" ref="DG34">-(IF(DG$2=1,Assumptions!$AF35/12,-(SUMIF($D$2:$EE$2,DG$2-1,$D34:$EE34)/12)*(1+XLOOKUP(DG$2,Assumptions!$C$94:$M$94,Assumptions!$C$98:$M$98))))</f>
        <v>-14086.85973</v>
      </c>
      <c r="DH34" s="54">
        <f t="array" ref="DH34">-(IF(DH$2=1,Assumptions!$AF35/12,-(SUMIF($D$2:$EE$2,DH$2-1,$D34:$EE34)/12)*(1+XLOOKUP(DH$2,Assumptions!$C$94:$M$94,Assumptions!$C$98:$M$98))))</f>
        <v>-14509.46552</v>
      </c>
      <c r="DI34" s="54">
        <f t="array" ref="DI34">-(IF(DI$2=1,Assumptions!$AF35/12,-(SUMIF($D$2:$EE$2,DI$2-1,$D34:$EE34)/12)*(1+XLOOKUP(DI$2,Assumptions!$C$94:$M$94,Assumptions!$C$98:$M$98))))</f>
        <v>-14509.46552</v>
      </c>
      <c r="DJ34" s="54">
        <f t="array" ref="DJ34">-(IF(DJ$2=1,Assumptions!$AF35/12,-(SUMIF($D$2:$EE$2,DJ$2-1,$D34:$EE34)/12)*(1+XLOOKUP(DJ$2,Assumptions!$C$94:$M$94,Assumptions!$C$98:$M$98))))</f>
        <v>-14509.46552</v>
      </c>
      <c r="DK34" s="54">
        <f t="array" ref="DK34">-(IF(DK$2=1,Assumptions!$AF35/12,-(SUMIF($D$2:$EE$2,DK$2-1,$D34:$EE34)/12)*(1+XLOOKUP(DK$2,Assumptions!$C$94:$M$94,Assumptions!$C$98:$M$98))))</f>
        <v>-14509.46552</v>
      </c>
      <c r="DL34" s="54">
        <f t="array" ref="DL34">-(IF(DL$2=1,Assumptions!$AF35/12,-(SUMIF($D$2:$EE$2,DL$2-1,$D34:$EE34)/12)*(1+XLOOKUP(DL$2,Assumptions!$C$94:$M$94,Assumptions!$C$98:$M$98))))</f>
        <v>-14509.46552</v>
      </c>
      <c r="DM34" s="54">
        <f t="array" ref="DM34">-(IF(DM$2=1,Assumptions!$AF35/12,-(SUMIF($D$2:$EE$2,DM$2-1,$D34:$EE34)/12)*(1+XLOOKUP(DM$2,Assumptions!$C$94:$M$94,Assumptions!$C$98:$M$98))))</f>
        <v>-14509.46552</v>
      </c>
      <c r="DN34" s="54">
        <f t="array" ref="DN34">-(IF(DN$2=1,Assumptions!$AF35/12,-(SUMIF($D$2:$EE$2,DN$2-1,$D34:$EE34)/12)*(1+XLOOKUP(DN$2,Assumptions!$C$94:$M$94,Assumptions!$C$98:$M$98))))</f>
        <v>-14509.46552</v>
      </c>
      <c r="DO34" s="54">
        <f t="array" ref="DO34">-(IF(DO$2=1,Assumptions!$AF35/12,-(SUMIF($D$2:$EE$2,DO$2-1,$D34:$EE34)/12)*(1+XLOOKUP(DO$2,Assumptions!$C$94:$M$94,Assumptions!$C$98:$M$98))))</f>
        <v>-14509.46552</v>
      </c>
      <c r="DP34" s="54">
        <f t="array" ref="DP34">-(IF(DP$2=1,Assumptions!$AF35/12,-(SUMIF($D$2:$EE$2,DP$2-1,$D34:$EE34)/12)*(1+XLOOKUP(DP$2,Assumptions!$C$94:$M$94,Assumptions!$C$98:$M$98))))</f>
        <v>-14509.46552</v>
      </c>
      <c r="DQ34" s="54">
        <f t="array" ref="DQ34">-(IF(DQ$2=1,Assumptions!$AF35/12,-(SUMIF($D$2:$EE$2,DQ$2-1,$D34:$EE34)/12)*(1+XLOOKUP(DQ$2,Assumptions!$C$94:$M$94,Assumptions!$C$98:$M$98))))</f>
        <v>-14509.46552</v>
      </c>
      <c r="DR34" s="54">
        <f t="array" ref="DR34">-(IF(DR$2=1,Assumptions!$AF35/12,-(SUMIF($D$2:$EE$2,DR$2-1,$D34:$EE34)/12)*(1+XLOOKUP(DR$2,Assumptions!$C$94:$M$94,Assumptions!$C$98:$M$98))))</f>
        <v>-14509.46552</v>
      </c>
      <c r="DS34" s="54">
        <f t="array" ref="DS34">-(IF(DS$2=1,Assumptions!$AF35/12,-(SUMIF($D$2:$EE$2,DS$2-1,$D34:$EE34)/12)*(1+XLOOKUP(DS$2,Assumptions!$C$94:$M$94,Assumptions!$C$98:$M$98))))</f>
        <v>-14509.46552</v>
      </c>
      <c r="DT34" s="54">
        <f t="array" ref="DT34">-(IF(DT$2=1,Assumptions!$AF35/12,-(SUMIF($D$2:$EE$2,DT$2-1,$D34:$EE34)/12)*(1+XLOOKUP(DT$2,Assumptions!$C$94:$M$94,Assumptions!$C$98:$M$98))))</f>
        <v>-14944.74948</v>
      </c>
      <c r="DU34" s="54">
        <f t="array" ref="DU34">-(IF(DU$2=1,Assumptions!$AF35/12,-(SUMIF($D$2:$EE$2,DU$2-1,$D34:$EE34)/12)*(1+XLOOKUP(DU$2,Assumptions!$C$94:$M$94,Assumptions!$C$98:$M$98))))</f>
        <v>-14944.74948</v>
      </c>
      <c r="DV34" s="54">
        <f t="array" ref="DV34">-(IF(DV$2=1,Assumptions!$AF35/12,-(SUMIF($D$2:$EE$2,DV$2-1,$D34:$EE34)/12)*(1+XLOOKUP(DV$2,Assumptions!$C$94:$M$94,Assumptions!$C$98:$M$98))))</f>
        <v>-14944.74948</v>
      </c>
      <c r="DW34" s="54">
        <f t="array" ref="DW34">-(IF(DW$2=1,Assumptions!$AF35/12,-(SUMIF($D$2:$EE$2,DW$2-1,$D34:$EE34)/12)*(1+XLOOKUP(DW$2,Assumptions!$C$94:$M$94,Assumptions!$C$98:$M$98))))</f>
        <v>-14944.74948</v>
      </c>
      <c r="DX34" s="54">
        <f t="array" ref="DX34">-(IF(DX$2=1,Assumptions!$AF35/12,-(SUMIF($D$2:$EE$2,DX$2-1,$D34:$EE34)/12)*(1+XLOOKUP(DX$2,Assumptions!$C$94:$M$94,Assumptions!$C$98:$M$98))))</f>
        <v>-14944.74948</v>
      </c>
      <c r="DY34" s="54">
        <f t="array" ref="DY34">-(IF(DY$2=1,Assumptions!$AF35/12,-(SUMIF($D$2:$EE$2,DY$2-1,$D34:$EE34)/12)*(1+XLOOKUP(DY$2,Assumptions!$C$94:$M$94,Assumptions!$C$98:$M$98))))</f>
        <v>-14944.74948</v>
      </c>
      <c r="DZ34" s="54">
        <f t="array" ref="DZ34">-(IF(DZ$2=1,Assumptions!$AF35/12,-(SUMIF($D$2:$EE$2,DZ$2-1,$D34:$EE34)/12)*(1+XLOOKUP(DZ$2,Assumptions!$C$94:$M$94,Assumptions!$C$98:$M$98))))</f>
        <v>-14944.74948</v>
      </c>
      <c r="EA34" s="54">
        <f t="array" ref="EA34">-(IF(EA$2=1,Assumptions!$AF35/12,-(SUMIF($D$2:$EE$2,EA$2-1,$D34:$EE34)/12)*(1+XLOOKUP(EA$2,Assumptions!$C$94:$M$94,Assumptions!$C$98:$M$98))))</f>
        <v>-14944.74948</v>
      </c>
      <c r="EB34" s="54">
        <f t="array" ref="EB34">-(IF(EB$2=1,Assumptions!$AF35/12,-(SUMIF($D$2:$EE$2,EB$2-1,$D34:$EE34)/12)*(1+XLOOKUP(EB$2,Assumptions!$C$94:$M$94,Assumptions!$C$98:$M$98))))</f>
        <v>-14944.74948</v>
      </c>
      <c r="EC34" s="54">
        <f t="array" ref="EC34">-(IF(EC$2=1,Assumptions!$AF35/12,-(SUMIF($D$2:$EE$2,EC$2-1,$D34:$EE34)/12)*(1+XLOOKUP(EC$2,Assumptions!$C$94:$M$94,Assumptions!$C$98:$M$98))))</f>
        <v>-14944.74948</v>
      </c>
      <c r="ED34" s="54">
        <f t="array" ref="ED34">-(IF(ED$2=1,Assumptions!$AF35/12,-(SUMIF($D$2:$EE$2,ED$2-1,$D34:$EE34)/12)*(1+XLOOKUP(ED$2,Assumptions!$C$94:$M$94,Assumptions!$C$98:$M$98))))</f>
        <v>-14944.74948</v>
      </c>
      <c r="EE34" s="54">
        <f t="array" ref="EE34">-(IF(EE$2=1,Assumptions!$AF35/12,-(SUMIF($D$2:$EE$2,EE$2-1,$D34:$EE34)/12)*(1+XLOOKUP(EE$2,Assumptions!$C$94:$M$94,Assumptions!$C$98:$M$98))))</f>
        <v>-14944.74948</v>
      </c>
    </row>
    <row r="35" ht="15.75" customHeight="1">
      <c r="A35" s="1"/>
      <c r="B35" s="1"/>
      <c r="C35" s="1" t="str">
        <f>Assumptions!J36</f>
        <v>HQ Expense</v>
      </c>
      <c r="D35" s="54">
        <f t="array" ref="D35">-(IF(D$2=1,Assumptions!$AF36/12,-(SUMIF($D$2:$EE$2,D$2-1,$D35:$EE35)/12)*(1+XLOOKUP(D$2,Assumptions!$C$94:$M$94,Assumptions!$C$98:$M$98))))</f>
        <v>-1735.470175</v>
      </c>
      <c r="E35" s="54">
        <f t="array" ref="E35">-(IF(E$2=1,Assumptions!$AF36/12,-(SUMIF($D$2:$EE$2,E$2-1,$D35:$EE35)/12)*(1+XLOOKUP(E$2,Assumptions!$C$94:$M$94,Assumptions!$C$98:$M$98))))</f>
        <v>-1735.470175</v>
      </c>
      <c r="F35" s="54">
        <f t="array" ref="F35">-(IF(F$2=1,Assumptions!$AF36/12,-(SUMIF($D$2:$EE$2,F$2-1,$D35:$EE35)/12)*(1+XLOOKUP(F$2,Assumptions!$C$94:$M$94,Assumptions!$C$98:$M$98))))</f>
        <v>-1735.470175</v>
      </c>
      <c r="G35" s="54">
        <f t="array" ref="G35">-(IF(G$2=1,Assumptions!$AF36/12,-(SUMIF($D$2:$EE$2,G$2-1,$D35:$EE35)/12)*(1+XLOOKUP(G$2,Assumptions!$C$94:$M$94,Assumptions!$C$98:$M$98))))</f>
        <v>-1735.470175</v>
      </c>
      <c r="H35" s="54">
        <f t="array" ref="H35">-(IF(H$2=1,Assumptions!$AF36/12,-(SUMIF($D$2:$EE$2,H$2-1,$D35:$EE35)/12)*(1+XLOOKUP(H$2,Assumptions!$C$94:$M$94,Assumptions!$C$98:$M$98))))</f>
        <v>-1735.470175</v>
      </c>
      <c r="I35" s="54">
        <f t="array" ref="I35">-(IF(I$2=1,Assumptions!$AF36/12,-(SUMIF($D$2:$EE$2,I$2-1,$D35:$EE35)/12)*(1+XLOOKUP(I$2,Assumptions!$C$94:$M$94,Assumptions!$C$98:$M$98))))</f>
        <v>-1735.470175</v>
      </c>
      <c r="J35" s="54">
        <f t="array" ref="J35">-(IF(J$2=1,Assumptions!$AF36/12,-(SUMIF($D$2:$EE$2,J$2-1,$D35:$EE35)/12)*(1+XLOOKUP(J$2,Assumptions!$C$94:$M$94,Assumptions!$C$98:$M$98))))</f>
        <v>-1735.470175</v>
      </c>
      <c r="K35" s="54">
        <f t="array" ref="K35">-(IF(K$2=1,Assumptions!$AF36/12,-(SUMIF($D$2:$EE$2,K$2-1,$D35:$EE35)/12)*(1+XLOOKUP(K$2,Assumptions!$C$94:$M$94,Assumptions!$C$98:$M$98))))</f>
        <v>-1735.470175</v>
      </c>
      <c r="L35" s="54">
        <f t="array" ref="L35">-(IF(L$2=1,Assumptions!$AF36/12,-(SUMIF($D$2:$EE$2,L$2-1,$D35:$EE35)/12)*(1+XLOOKUP(L$2,Assumptions!$C$94:$M$94,Assumptions!$C$98:$M$98))))</f>
        <v>-1735.470175</v>
      </c>
      <c r="M35" s="54">
        <f t="array" ref="M35">-(IF(M$2=1,Assumptions!$AF36/12,-(SUMIF($D$2:$EE$2,M$2-1,$D35:$EE35)/12)*(1+XLOOKUP(M$2,Assumptions!$C$94:$M$94,Assumptions!$C$98:$M$98))))</f>
        <v>-1735.470175</v>
      </c>
      <c r="N35" s="54">
        <f t="array" ref="N35">-(IF(N$2=1,Assumptions!$AF36/12,-(SUMIF($D$2:$EE$2,N$2-1,$D35:$EE35)/12)*(1+XLOOKUP(N$2,Assumptions!$C$94:$M$94,Assumptions!$C$98:$M$98))))</f>
        <v>-1735.470175</v>
      </c>
      <c r="O35" s="54">
        <f t="array" ref="O35">-(IF(O$2=1,Assumptions!$AF36/12,-(SUMIF($D$2:$EE$2,O$2-1,$D35:$EE35)/12)*(1+XLOOKUP(O$2,Assumptions!$C$94:$M$94,Assumptions!$C$98:$M$98))))</f>
        <v>-1735.470175</v>
      </c>
      <c r="P35" s="54">
        <f t="array" ref="P35">-(IF(P$2=1,Assumptions!$AF36/12,-(SUMIF($D$2:$EE$2,P$2-1,$D35:$EE35)/12)*(1+XLOOKUP(P$2,Assumptions!$C$94:$M$94,Assumptions!$C$98:$M$98))))</f>
        <v>-1787.53428</v>
      </c>
      <c r="Q35" s="54">
        <f t="array" ref="Q35">-(IF(Q$2=1,Assumptions!$AF36/12,-(SUMIF($D$2:$EE$2,Q$2-1,$D35:$EE35)/12)*(1+XLOOKUP(Q$2,Assumptions!$C$94:$M$94,Assumptions!$C$98:$M$98))))</f>
        <v>-1787.53428</v>
      </c>
      <c r="R35" s="54">
        <f t="array" ref="R35">-(IF(R$2=1,Assumptions!$AF36/12,-(SUMIF($D$2:$EE$2,R$2-1,$D35:$EE35)/12)*(1+XLOOKUP(R$2,Assumptions!$C$94:$M$94,Assumptions!$C$98:$M$98))))</f>
        <v>-1787.53428</v>
      </c>
      <c r="S35" s="54">
        <f t="array" ref="S35">-(IF(S$2=1,Assumptions!$AF36/12,-(SUMIF($D$2:$EE$2,S$2-1,$D35:$EE35)/12)*(1+XLOOKUP(S$2,Assumptions!$C$94:$M$94,Assumptions!$C$98:$M$98))))</f>
        <v>-1787.53428</v>
      </c>
      <c r="T35" s="54">
        <f t="array" ref="T35">-(IF(T$2=1,Assumptions!$AF36/12,-(SUMIF($D$2:$EE$2,T$2-1,$D35:$EE35)/12)*(1+XLOOKUP(T$2,Assumptions!$C$94:$M$94,Assumptions!$C$98:$M$98))))</f>
        <v>-1787.53428</v>
      </c>
      <c r="U35" s="54">
        <f t="array" ref="U35">-(IF(U$2=1,Assumptions!$AF36/12,-(SUMIF($D$2:$EE$2,U$2-1,$D35:$EE35)/12)*(1+XLOOKUP(U$2,Assumptions!$C$94:$M$94,Assumptions!$C$98:$M$98))))</f>
        <v>-1787.53428</v>
      </c>
      <c r="V35" s="54">
        <f t="array" ref="V35">-(IF(V$2=1,Assumptions!$AF36/12,-(SUMIF($D$2:$EE$2,V$2-1,$D35:$EE35)/12)*(1+XLOOKUP(V$2,Assumptions!$C$94:$M$94,Assumptions!$C$98:$M$98))))</f>
        <v>-1787.53428</v>
      </c>
      <c r="W35" s="54">
        <f t="array" ref="W35">-(IF(W$2=1,Assumptions!$AF36/12,-(SUMIF($D$2:$EE$2,W$2-1,$D35:$EE35)/12)*(1+XLOOKUP(W$2,Assumptions!$C$94:$M$94,Assumptions!$C$98:$M$98))))</f>
        <v>-1787.53428</v>
      </c>
      <c r="X35" s="54">
        <f t="array" ref="X35">-(IF(X$2=1,Assumptions!$AF36/12,-(SUMIF($D$2:$EE$2,X$2-1,$D35:$EE35)/12)*(1+XLOOKUP(X$2,Assumptions!$C$94:$M$94,Assumptions!$C$98:$M$98))))</f>
        <v>-1787.53428</v>
      </c>
      <c r="Y35" s="54">
        <f t="array" ref="Y35">-(IF(Y$2=1,Assumptions!$AF36/12,-(SUMIF($D$2:$EE$2,Y$2-1,$D35:$EE35)/12)*(1+XLOOKUP(Y$2,Assumptions!$C$94:$M$94,Assumptions!$C$98:$M$98))))</f>
        <v>-1787.53428</v>
      </c>
      <c r="Z35" s="54">
        <f t="array" ref="Z35">-(IF(Z$2=1,Assumptions!$AF36/12,-(SUMIF($D$2:$EE$2,Z$2-1,$D35:$EE35)/12)*(1+XLOOKUP(Z$2,Assumptions!$C$94:$M$94,Assumptions!$C$98:$M$98))))</f>
        <v>-1787.53428</v>
      </c>
      <c r="AA35" s="54">
        <f t="array" ref="AA35">-(IF(AA$2=1,Assumptions!$AF36/12,-(SUMIF($D$2:$EE$2,AA$2-1,$D35:$EE35)/12)*(1+XLOOKUP(AA$2,Assumptions!$C$94:$M$94,Assumptions!$C$98:$M$98))))</f>
        <v>-1787.53428</v>
      </c>
      <c r="AB35" s="54">
        <f t="array" ref="AB35">-(IF(AB$2=1,Assumptions!$AF36/12,-(SUMIF($D$2:$EE$2,AB$2-1,$D35:$EE35)/12)*(1+XLOOKUP(AB$2,Assumptions!$C$94:$M$94,Assumptions!$C$98:$M$98))))</f>
        <v>-1841.160309</v>
      </c>
      <c r="AC35" s="54">
        <f t="array" ref="AC35">-(IF(AC$2=1,Assumptions!$AF36/12,-(SUMIF($D$2:$EE$2,AC$2-1,$D35:$EE35)/12)*(1+XLOOKUP(AC$2,Assumptions!$C$94:$M$94,Assumptions!$C$98:$M$98))))</f>
        <v>-1841.160309</v>
      </c>
      <c r="AD35" s="54">
        <f t="array" ref="AD35">-(IF(AD$2=1,Assumptions!$AF36/12,-(SUMIF($D$2:$EE$2,AD$2-1,$D35:$EE35)/12)*(1+XLOOKUP(AD$2,Assumptions!$C$94:$M$94,Assumptions!$C$98:$M$98))))</f>
        <v>-1841.160309</v>
      </c>
      <c r="AE35" s="54">
        <f t="array" ref="AE35">-(IF(AE$2=1,Assumptions!$AF36/12,-(SUMIF($D$2:$EE$2,AE$2-1,$D35:$EE35)/12)*(1+XLOOKUP(AE$2,Assumptions!$C$94:$M$94,Assumptions!$C$98:$M$98))))</f>
        <v>-1841.160309</v>
      </c>
      <c r="AF35" s="54">
        <f t="array" ref="AF35">-(IF(AF$2=1,Assumptions!$AF36/12,-(SUMIF($D$2:$EE$2,AF$2-1,$D35:$EE35)/12)*(1+XLOOKUP(AF$2,Assumptions!$C$94:$M$94,Assumptions!$C$98:$M$98))))</f>
        <v>-1841.160309</v>
      </c>
      <c r="AG35" s="54">
        <f t="array" ref="AG35">-(IF(AG$2=1,Assumptions!$AF36/12,-(SUMIF($D$2:$EE$2,AG$2-1,$D35:$EE35)/12)*(1+XLOOKUP(AG$2,Assumptions!$C$94:$M$94,Assumptions!$C$98:$M$98))))</f>
        <v>-1841.160309</v>
      </c>
      <c r="AH35" s="54">
        <f t="array" ref="AH35">-(IF(AH$2=1,Assumptions!$AF36/12,-(SUMIF($D$2:$EE$2,AH$2-1,$D35:$EE35)/12)*(1+XLOOKUP(AH$2,Assumptions!$C$94:$M$94,Assumptions!$C$98:$M$98))))</f>
        <v>-1841.160309</v>
      </c>
      <c r="AI35" s="54">
        <f t="array" ref="AI35">-(IF(AI$2=1,Assumptions!$AF36/12,-(SUMIF($D$2:$EE$2,AI$2-1,$D35:$EE35)/12)*(1+XLOOKUP(AI$2,Assumptions!$C$94:$M$94,Assumptions!$C$98:$M$98))))</f>
        <v>-1841.160309</v>
      </c>
      <c r="AJ35" s="54">
        <f t="array" ref="AJ35">-(IF(AJ$2=1,Assumptions!$AF36/12,-(SUMIF($D$2:$EE$2,AJ$2-1,$D35:$EE35)/12)*(1+XLOOKUP(AJ$2,Assumptions!$C$94:$M$94,Assumptions!$C$98:$M$98))))</f>
        <v>-1841.160309</v>
      </c>
      <c r="AK35" s="54">
        <f t="array" ref="AK35">-(IF(AK$2=1,Assumptions!$AF36/12,-(SUMIF($D$2:$EE$2,AK$2-1,$D35:$EE35)/12)*(1+XLOOKUP(AK$2,Assumptions!$C$94:$M$94,Assumptions!$C$98:$M$98))))</f>
        <v>-1841.160309</v>
      </c>
      <c r="AL35" s="54">
        <f t="array" ref="AL35">-(IF(AL$2=1,Assumptions!$AF36/12,-(SUMIF($D$2:$EE$2,AL$2-1,$D35:$EE35)/12)*(1+XLOOKUP(AL$2,Assumptions!$C$94:$M$94,Assumptions!$C$98:$M$98))))</f>
        <v>-1841.160309</v>
      </c>
      <c r="AM35" s="54">
        <f t="array" ref="AM35">-(IF(AM$2=1,Assumptions!$AF36/12,-(SUMIF($D$2:$EE$2,AM$2-1,$D35:$EE35)/12)*(1+XLOOKUP(AM$2,Assumptions!$C$94:$M$94,Assumptions!$C$98:$M$98))))</f>
        <v>-1841.160309</v>
      </c>
      <c r="AN35" s="54">
        <f t="array" ref="AN35">-(IF(AN$2=1,Assumptions!$AF36/12,-(SUMIF($D$2:$EE$2,AN$2-1,$D35:$EE35)/12)*(1+XLOOKUP(AN$2,Assumptions!$C$94:$M$94,Assumptions!$C$98:$M$98))))</f>
        <v>-1896.395118</v>
      </c>
      <c r="AO35" s="54">
        <f t="array" ref="AO35">-(IF(AO$2=1,Assumptions!$AF36/12,-(SUMIF($D$2:$EE$2,AO$2-1,$D35:$EE35)/12)*(1+XLOOKUP(AO$2,Assumptions!$C$94:$M$94,Assumptions!$C$98:$M$98))))</f>
        <v>-1896.395118</v>
      </c>
      <c r="AP35" s="54">
        <f t="array" ref="AP35">-(IF(AP$2=1,Assumptions!$AF36/12,-(SUMIF($D$2:$EE$2,AP$2-1,$D35:$EE35)/12)*(1+XLOOKUP(AP$2,Assumptions!$C$94:$M$94,Assumptions!$C$98:$M$98))))</f>
        <v>-1896.395118</v>
      </c>
      <c r="AQ35" s="54">
        <f t="array" ref="AQ35">-(IF(AQ$2=1,Assumptions!$AF36/12,-(SUMIF($D$2:$EE$2,AQ$2-1,$D35:$EE35)/12)*(1+XLOOKUP(AQ$2,Assumptions!$C$94:$M$94,Assumptions!$C$98:$M$98))))</f>
        <v>-1896.395118</v>
      </c>
      <c r="AR35" s="54">
        <f t="array" ref="AR35">-(IF(AR$2=1,Assumptions!$AF36/12,-(SUMIF($D$2:$EE$2,AR$2-1,$D35:$EE35)/12)*(1+XLOOKUP(AR$2,Assumptions!$C$94:$M$94,Assumptions!$C$98:$M$98))))</f>
        <v>-1896.395118</v>
      </c>
      <c r="AS35" s="54">
        <f t="array" ref="AS35">-(IF(AS$2=1,Assumptions!$AF36/12,-(SUMIF($D$2:$EE$2,AS$2-1,$D35:$EE35)/12)*(1+XLOOKUP(AS$2,Assumptions!$C$94:$M$94,Assumptions!$C$98:$M$98))))</f>
        <v>-1896.395118</v>
      </c>
      <c r="AT35" s="54">
        <f t="array" ref="AT35">-(IF(AT$2=1,Assumptions!$AF36/12,-(SUMIF($D$2:$EE$2,AT$2-1,$D35:$EE35)/12)*(1+XLOOKUP(AT$2,Assumptions!$C$94:$M$94,Assumptions!$C$98:$M$98))))</f>
        <v>-1896.395118</v>
      </c>
      <c r="AU35" s="54">
        <f t="array" ref="AU35">-(IF(AU$2=1,Assumptions!$AF36/12,-(SUMIF($D$2:$EE$2,AU$2-1,$D35:$EE35)/12)*(1+XLOOKUP(AU$2,Assumptions!$C$94:$M$94,Assumptions!$C$98:$M$98))))</f>
        <v>-1896.395118</v>
      </c>
      <c r="AV35" s="54">
        <f t="array" ref="AV35">-(IF(AV$2=1,Assumptions!$AF36/12,-(SUMIF($D$2:$EE$2,AV$2-1,$D35:$EE35)/12)*(1+XLOOKUP(AV$2,Assumptions!$C$94:$M$94,Assumptions!$C$98:$M$98))))</f>
        <v>-1896.395118</v>
      </c>
      <c r="AW35" s="54">
        <f t="array" ref="AW35">-(IF(AW$2=1,Assumptions!$AF36/12,-(SUMIF($D$2:$EE$2,AW$2-1,$D35:$EE35)/12)*(1+XLOOKUP(AW$2,Assumptions!$C$94:$M$94,Assumptions!$C$98:$M$98))))</f>
        <v>-1896.395118</v>
      </c>
      <c r="AX35" s="54">
        <f t="array" ref="AX35">-(IF(AX$2=1,Assumptions!$AF36/12,-(SUMIF($D$2:$EE$2,AX$2-1,$D35:$EE35)/12)*(1+XLOOKUP(AX$2,Assumptions!$C$94:$M$94,Assumptions!$C$98:$M$98))))</f>
        <v>-1896.395118</v>
      </c>
      <c r="AY35" s="54">
        <f t="array" ref="AY35">-(IF(AY$2=1,Assumptions!$AF36/12,-(SUMIF($D$2:$EE$2,AY$2-1,$D35:$EE35)/12)*(1+XLOOKUP(AY$2,Assumptions!$C$94:$M$94,Assumptions!$C$98:$M$98))))</f>
        <v>-1896.395118</v>
      </c>
      <c r="AZ35" s="54">
        <f t="array" ref="AZ35">-(IF(AZ$2=1,Assumptions!$AF36/12,-(SUMIF($D$2:$EE$2,AZ$2-1,$D35:$EE35)/12)*(1+XLOOKUP(AZ$2,Assumptions!$C$94:$M$94,Assumptions!$C$98:$M$98))))</f>
        <v>-1953.286971</v>
      </c>
      <c r="BA35" s="54">
        <f t="array" ref="BA35">-(IF(BA$2=1,Assumptions!$AF36/12,-(SUMIF($D$2:$EE$2,BA$2-1,$D35:$EE35)/12)*(1+XLOOKUP(BA$2,Assumptions!$C$94:$M$94,Assumptions!$C$98:$M$98))))</f>
        <v>-1953.286971</v>
      </c>
      <c r="BB35" s="54">
        <f t="array" ref="BB35">-(IF(BB$2=1,Assumptions!$AF36/12,-(SUMIF($D$2:$EE$2,BB$2-1,$D35:$EE35)/12)*(1+XLOOKUP(BB$2,Assumptions!$C$94:$M$94,Assumptions!$C$98:$M$98))))</f>
        <v>-1953.286971</v>
      </c>
      <c r="BC35" s="54">
        <f t="array" ref="BC35">-(IF(BC$2=1,Assumptions!$AF36/12,-(SUMIF($D$2:$EE$2,BC$2-1,$D35:$EE35)/12)*(1+XLOOKUP(BC$2,Assumptions!$C$94:$M$94,Assumptions!$C$98:$M$98))))</f>
        <v>-1953.286971</v>
      </c>
      <c r="BD35" s="54">
        <f t="array" ref="BD35">-(IF(BD$2=1,Assumptions!$AF36/12,-(SUMIF($D$2:$EE$2,BD$2-1,$D35:$EE35)/12)*(1+XLOOKUP(BD$2,Assumptions!$C$94:$M$94,Assumptions!$C$98:$M$98))))</f>
        <v>-1953.286971</v>
      </c>
      <c r="BE35" s="54">
        <f t="array" ref="BE35">-(IF(BE$2=1,Assumptions!$AF36/12,-(SUMIF($D$2:$EE$2,BE$2-1,$D35:$EE35)/12)*(1+XLOOKUP(BE$2,Assumptions!$C$94:$M$94,Assumptions!$C$98:$M$98))))</f>
        <v>-1953.286971</v>
      </c>
      <c r="BF35" s="54">
        <f t="array" ref="BF35">-(IF(BF$2=1,Assumptions!$AF36/12,-(SUMIF($D$2:$EE$2,BF$2-1,$D35:$EE35)/12)*(1+XLOOKUP(BF$2,Assumptions!$C$94:$M$94,Assumptions!$C$98:$M$98))))</f>
        <v>-1953.286971</v>
      </c>
      <c r="BG35" s="54">
        <f t="array" ref="BG35">-(IF(BG$2=1,Assumptions!$AF36/12,-(SUMIF($D$2:$EE$2,BG$2-1,$D35:$EE35)/12)*(1+XLOOKUP(BG$2,Assumptions!$C$94:$M$94,Assumptions!$C$98:$M$98))))</f>
        <v>-1953.286971</v>
      </c>
      <c r="BH35" s="54">
        <f t="array" ref="BH35">-(IF(BH$2=1,Assumptions!$AF36/12,-(SUMIF($D$2:$EE$2,BH$2-1,$D35:$EE35)/12)*(1+XLOOKUP(BH$2,Assumptions!$C$94:$M$94,Assumptions!$C$98:$M$98))))</f>
        <v>-1953.286971</v>
      </c>
      <c r="BI35" s="54">
        <f t="array" ref="BI35">-(IF(BI$2=1,Assumptions!$AF36/12,-(SUMIF($D$2:$EE$2,BI$2-1,$D35:$EE35)/12)*(1+XLOOKUP(BI$2,Assumptions!$C$94:$M$94,Assumptions!$C$98:$M$98))))</f>
        <v>-1953.286971</v>
      </c>
      <c r="BJ35" s="54">
        <f t="array" ref="BJ35">-(IF(BJ$2=1,Assumptions!$AF36/12,-(SUMIF($D$2:$EE$2,BJ$2-1,$D35:$EE35)/12)*(1+XLOOKUP(BJ$2,Assumptions!$C$94:$M$94,Assumptions!$C$98:$M$98))))</f>
        <v>-1953.286971</v>
      </c>
      <c r="BK35" s="54">
        <f t="array" ref="BK35">-(IF(BK$2=1,Assumptions!$AF36/12,-(SUMIF($D$2:$EE$2,BK$2-1,$D35:$EE35)/12)*(1+XLOOKUP(BK$2,Assumptions!$C$94:$M$94,Assumptions!$C$98:$M$98))))</f>
        <v>-1953.286971</v>
      </c>
      <c r="BL35" s="54">
        <f t="array" ref="BL35">-(IF(BL$2=1,Assumptions!$AF36/12,-(SUMIF($D$2:$EE$2,BL$2-1,$D35:$EE35)/12)*(1+XLOOKUP(BL$2,Assumptions!$C$94:$M$94,Assumptions!$C$98:$M$98))))</f>
        <v>-2011.885581</v>
      </c>
      <c r="BM35" s="54">
        <f t="array" ref="BM35">-(IF(BM$2=1,Assumptions!$AF36/12,-(SUMIF($D$2:$EE$2,BM$2-1,$D35:$EE35)/12)*(1+XLOOKUP(BM$2,Assumptions!$C$94:$M$94,Assumptions!$C$98:$M$98))))</f>
        <v>-2011.885581</v>
      </c>
      <c r="BN35" s="54">
        <f t="array" ref="BN35">-(IF(BN$2=1,Assumptions!$AF36/12,-(SUMIF($D$2:$EE$2,BN$2-1,$D35:$EE35)/12)*(1+XLOOKUP(BN$2,Assumptions!$C$94:$M$94,Assumptions!$C$98:$M$98))))</f>
        <v>-2011.885581</v>
      </c>
      <c r="BO35" s="54">
        <f t="array" ref="BO35">-(IF(BO$2=1,Assumptions!$AF36/12,-(SUMIF($D$2:$EE$2,BO$2-1,$D35:$EE35)/12)*(1+XLOOKUP(BO$2,Assumptions!$C$94:$M$94,Assumptions!$C$98:$M$98))))</f>
        <v>-2011.885581</v>
      </c>
      <c r="BP35" s="54">
        <f t="array" ref="BP35">-(IF(BP$2=1,Assumptions!$AF36/12,-(SUMIF($D$2:$EE$2,BP$2-1,$D35:$EE35)/12)*(1+XLOOKUP(BP$2,Assumptions!$C$94:$M$94,Assumptions!$C$98:$M$98))))</f>
        <v>-2011.885581</v>
      </c>
      <c r="BQ35" s="54">
        <f t="array" ref="BQ35">-(IF(BQ$2=1,Assumptions!$AF36/12,-(SUMIF($D$2:$EE$2,BQ$2-1,$D35:$EE35)/12)*(1+XLOOKUP(BQ$2,Assumptions!$C$94:$M$94,Assumptions!$C$98:$M$98))))</f>
        <v>-2011.885581</v>
      </c>
      <c r="BR35" s="54">
        <f t="array" ref="BR35">-(IF(BR$2=1,Assumptions!$AF36/12,-(SUMIF($D$2:$EE$2,BR$2-1,$D35:$EE35)/12)*(1+XLOOKUP(BR$2,Assumptions!$C$94:$M$94,Assumptions!$C$98:$M$98))))</f>
        <v>-2011.885581</v>
      </c>
      <c r="BS35" s="54">
        <f t="array" ref="BS35">-(IF(BS$2=1,Assumptions!$AF36/12,-(SUMIF($D$2:$EE$2,BS$2-1,$D35:$EE35)/12)*(1+XLOOKUP(BS$2,Assumptions!$C$94:$M$94,Assumptions!$C$98:$M$98))))</f>
        <v>-2011.885581</v>
      </c>
      <c r="BT35" s="54">
        <f t="array" ref="BT35">-(IF(BT$2=1,Assumptions!$AF36/12,-(SUMIF($D$2:$EE$2,BT$2-1,$D35:$EE35)/12)*(1+XLOOKUP(BT$2,Assumptions!$C$94:$M$94,Assumptions!$C$98:$M$98))))</f>
        <v>-2011.885581</v>
      </c>
      <c r="BU35" s="54">
        <f t="array" ref="BU35">-(IF(BU$2=1,Assumptions!$AF36/12,-(SUMIF($D$2:$EE$2,BU$2-1,$D35:$EE35)/12)*(1+XLOOKUP(BU$2,Assumptions!$C$94:$M$94,Assumptions!$C$98:$M$98))))</f>
        <v>-2011.885581</v>
      </c>
      <c r="BV35" s="54">
        <f t="array" ref="BV35">-(IF(BV$2=1,Assumptions!$AF36/12,-(SUMIF($D$2:$EE$2,BV$2-1,$D35:$EE35)/12)*(1+XLOOKUP(BV$2,Assumptions!$C$94:$M$94,Assumptions!$C$98:$M$98))))</f>
        <v>-2011.885581</v>
      </c>
      <c r="BW35" s="54">
        <f t="array" ref="BW35">-(IF(BW$2=1,Assumptions!$AF36/12,-(SUMIF($D$2:$EE$2,BW$2-1,$D35:$EE35)/12)*(1+XLOOKUP(BW$2,Assumptions!$C$94:$M$94,Assumptions!$C$98:$M$98))))</f>
        <v>-2011.885581</v>
      </c>
      <c r="BX35" s="54">
        <f t="array" ref="BX35">-(IF(BX$2=1,Assumptions!$AF36/12,-(SUMIF($D$2:$EE$2,BX$2-1,$D35:$EE35)/12)*(1+XLOOKUP(BX$2,Assumptions!$C$94:$M$94,Assumptions!$C$98:$M$98))))</f>
        <v>-2072.242148</v>
      </c>
      <c r="BY35" s="54">
        <f t="array" ref="BY35">-(IF(BY$2=1,Assumptions!$AF36/12,-(SUMIF($D$2:$EE$2,BY$2-1,$D35:$EE35)/12)*(1+XLOOKUP(BY$2,Assumptions!$C$94:$M$94,Assumptions!$C$98:$M$98))))</f>
        <v>-2072.242148</v>
      </c>
      <c r="BZ35" s="54">
        <f t="array" ref="BZ35">-(IF(BZ$2=1,Assumptions!$AF36/12,-(SUMIF($D$2:$EE$2,BZ$2-1,$D35:$EE35)/12)*(1+XLOOKUP(BZ$2,Assumptions!$C$94:$M$94,Assumptions!$C$98:$M$98))))</f>
        <v>-2072.242148</v>
      </c>
      <c r="CA35" s="54">
        <f t="array" ref="CA35">-(IF(CA$2=1,Assumptions!$AF36/12,-(SUMIF($D$2:$EE$2,CA$2-1,$D35:$EE35)/12)*(1+XLOOKUP(CA$2,Assumptions!$C$94:$M$94,Assumptions!$C$98:$M$98))))</f>
        <v>-2072.242148</v>
      </c>
      <c r="CB35" s="54">
        <f t="array" ref="CB35">-(IF(CB$2=1,Assumptions!$AF36/12,-(SUMIF($D$2:$EE$2,CB$2-1,$D35:$EE35)/12)*(1+XLOOKUP(CB$2,Assumptions!$C$94:$M$94,Assumptions!$C$98:$M$98))))</f>
        <v>-2072.242148</v>
      </c>
      <c r="CC35" s="54">
        <f t="array" ref="CC35">-(IF(CC$2=1,Assumptions!$AF36/12,-(SUMIF($D$2:$EE$2,CC$2-1,$D35:$EE35)/12)*(1+XLOOKUP(CC$2,Assumptions!$C$94:$M$94,Assumptions!$C$98:$M$98))))</f>
        <v>-2072.242148</v>
      </c>
      <c r="CD35" s="54">
        <f t="array" ref="CD35">-(IF(CD$2=1,Assumptions!$AF36/12,-(SUMIF($D$2:$EE$2,CD$2-1,$D35:$EE35)/12)*(1+XLOOKUP(CD$2,Assumptions!$C$94:$M$94,Assumptions!$C$98:$M$98))))</f>
        <v>-2072.242148</v>
      </c>
      <c r="CE35" s="54">
        <f t="array" ref="CE35">-(IF(CE$2=1,Assumptions!$AF36/12,-(SUMIF($D$2:$EE$2,CE$2-1,$D35:$EE35)/12)*(1+XLOOKUP(CE$2,Assumptions!$C$94:$M$94,Assumptions!$C$98:$M$98))))</f>
        <v>-2072.242148</v>
      </c>
      <c r="CF35" s="54">
        <f t="array" ref="CF35">-(IF(CF$2=1,Assumptions!$AF36/12,-(SUMIF($D$2:$EE$2,CF$2-1,$D35:$EE35)/12)*(1+XLOOKUP(CF$2,Assumptions!$C$94:$M$94,Assumptions!$C$98:$M$98))))</f>
        <v>-2072.242148</v>
      </c>
      <c r="CG35" s="54">
        <f t="array" ref="CG35">-(IF(CG$2=1,Assumptions!$AF36/12,-(SUMIF($D$2:$EE$2,CG$2-1,$D35:$EE35)/12)*(1+XLOOKUP(CG$2,Assumptions!$C$94:$M$94,Assumptions!$C$98:$M$98))))</f>
        <v>-2072.242148</v>
      </c>
      <c r="CH35" s="54">
        <f t="array" ref="CH35">-(IF(CH$2=1,Assumptions!$AF36/12,-(SUMIF($D$2:$EE$2,CH$2-1,$D35:$EE35)/12)*(1+XLOOKUP(CH$2,Assumptions!$C$94:$M$94,Assumptions!$C$98:$M$98))))</f>
        <v>-2072.242148</v>
      </c>
      <c r="CI35" s="54">
        <f t="array" ref="CI35">-(IF(CI$2=1,Assumptions!$AF36/12,-(SUMIF($D$2:$EE$2,CI$2-1,$D35:$EE35)/12)*(1+XLOOKUP(CI$2,Assumptions!$C$94:$M$94,Assumptions!$C$98:$M$98))))</f>
        <v>-2072.242148</v>
      </c>
      <c r="CJ35" s="54">
        <f t="array" ref="CJ35">-(IF(CJ$2=1,Assumptions!$AF36/12,-(SUMIF($D$2:$EE$2,CJ$2-1,$D35:$EE35)/12)*(1+XLOOKUP(CJ$2,Assumptions!$C$94:$M$94,Assumptions!$C$98:$M$98))))</f>
        <v>-2134.409412</v>
      </c>
      <c r="CK35" s="54">
        <f t="array" ref="CK35">-(IF(CK$2=1,Assumptions!$AF36/12,-(SUMIF($D$2:$EE$2,CK$2-1,$D35:$EE35)/12)*(1+XLOOKUP(CK$2,Assumptions!$C$94:$M$94,Assumptions!$C$98:$M$98))))</f>
        <v>-2134.409412</v>
      </c>
      <c r="CL35" s="54">
        <f t="array" ref="CL35">-(IF(CL$2=1,Assumptions!$AF36/12,-(SUMIF($D$2:$EE$2,CL$2-1,$D35:$EE35)/12)*(1+XLOOKUP(CL$2,Assumptions!$C$94:$M$94,Assumptions!$C$98:$M$98))))</f>
        <v>-2134.409412</v>
      </c>
      <c r="CM35" s="54">
        <f t="array" ref="CM35">-(IF(CM$2=1,Assumptions!$AF36/12,-(SUMIF($D$2:$EE$2,CM$2-1,$D35:$EE35)/12)*(1+XLOOKUP(CM$2,Assumptions!$C$94:$M$94,Assumptions!$C$98:$M$98))))</f>
        <v>-2134.409412</v>
      </c>
      <c r="CN35" s="54">
        <f t="array" ref="CN35">-(IF(CN$2=1,Assumptions!$AF36/12,-(SUMIF($D$2:$EE$2,CN$2-1,$D35:$EE35)/12)*(1+XLOOKUP(CN$2,Assumptions!$C$94:$M$94,Assumptions!$C$98:$M$98))))</f>
        <v>-2134.409412</v>
      </c>
      <c r="CO35" s="54">
        <f t="array" ref="CO35">-(IF(CO$2=1,Assumptions!$AF36/12,-(SUMIF($D$2:$EE$2,CO$2-1,$D35:$EE35)/12)*(1+XLOOKUP(CO$2,Assumptions!$C$94:$M$94,Assumptions!$C$98:$M$98))))</f>
        <v>-2134.409412</v>
      </c>
      <c r="CP35" s="54">
        <f t="array" ref="CP35">-(IF(CP$2=1,Assumptions!$AF36/12,-(SUMIF($D$2:$EE$2,CP$2-1,$D35:$EE35)/12)*(1+XLOOKUP(CP$2,Assumptions!$C$94:$M$94,Assumptions!$C$98:$M$98))))</f>
        <v>-2134.409412</v>
      </c>
      <c r="CQ35" s="54">
        <f t="array" ref="CQ35">-(IF(CQ$2=1,Assumptions!$AF36/12,-(SUMIF($D$2:$EE$2,CQ$2-1,$D35:$EE35)/12)*(1+XLOOKUP(CQ$2,Assumptions!$C$94:$M$94,Assumptions!$C$98:$M$98))))</f>
        <v>-2134.409412</v>
      </c>
      <c r="CR35" s="54">
        <f t="array" ref="CR35">-(IF(CR$2=1,Assumptions!$AF36/12,-(SUMIF($D$2:$EE$2,CR$2-1,$D35:$EE35)/12)*(1+XLOOKUP(CR$2,Assumptions!$C$94:$M$94,Assumptions!$C$98:$M$98))))</f>
        <v>-2134.409412</v>
      </c>
      <c r="CS35" s="54">
        <f t="array" ref="CS35">-(IF(CS$2=1,Assumptions!$AF36/12,-(SUMIF($D$2:$EE$2,CS$2-1,$D35:$EE35)/12)*(1+XLOOKUP(CS$2,Assumptions!$C$94:$M$94,Assumptions!$C$98:$M$98))))</f>
        <v>-2134.409412</v>
      </c>
      <c r="CT35" s="54">
        <f t="array" ref="CT35">-(IF(CT$2=1,Assumptions!$AF36/12,-(SUMIF($D$2:$EE$2,CT$2-1,$D35:$EE35)/12)*(1+XLOOKUP(CT$2,Assumptions!$C$94:$M$94,Assumptions!$C$98:$M$98))))</f>
        <v>-2134.409412</v>
      </c>
      <c r="CU35" s="54">
        <f t="array" ref="CU35">-(IF(CU$2=1,Assumptions!$AF36/12,-(SUMIF($D$2:$EE$2,CU$2-1,$D35:$EE35)/12)*(1+XLOOKUP(CU$2,Assumptions!$C$94:$M$94,Assumptions!$C$98:$M$98))))</f>
        <v>-2134.409412</v>
      </c>
      <c r="CV35" s="54">
        <f t="array" ref="CV35">-(IF(CV$2=1,Assumptions!$AF36/12,-(SUMIF($D$2:$EE$2,CV$2-1,$D35:$EE35)/12)*(1+XLOOKUP(CV$2,Assumptions!$C$94:$M$94,Assumptions!$C$98:$M$98))))</f>
        <v>-2198.441695</v>
      </c>
      <c r="CW35" s="54">
        <f t="array" ref="CW35">-(IF(CW$2=1,Assumptions!$AF36/12,-(SUMIF($D$2:$EE$2,CW$2-1,$D35:$EE35)/12)*(1+XLOOKUP(CW$2,Assumptions!$C$94:$M$94,Assumptions!$C$98:$M$98))))</f>
        <v>-2198.441695</v>
      </c>
      <c r="CX35" s="54">
        <f t="array" ref="CX35">-(IF(CX$2=1,Assumptions!$AF36/12,-(SUMIF($D$2:$EE$2,CX$2-1,$D35:$EE35)/12)*(1+XLOOKUP(CX$2,Assumptions!$C$94:$M$94,Assumptions!$C$98:$M$98))))</f>
        <v>-2198.441695</v>
      </c>
      <c r="CY35" s="54">
        <f t="array" ref="CY35">-(IF(CY$2=1,Assumptions!$AF36/12,-(SUMIF($D$2:$EE$2,CY$2-1,$D35:$EE35)/12)*(1+XLOOKUP(CY$2,Assumptions!$C$94:$M$94,Assumptions!$C$98:$M$98))))</f>
        <v>-2198.441695</v>
      </c>
      <c r="CZ35" s="54">
        <f t="array" ref="CZ35">-(IF(CZ$2=1,Assumptions!$AF36/12,-(SUMIF($D$2:$EE$2,CZ$2-1,$D35:$EE35)/12)*(1+XLOOKUP(CZ$2,Assumptions!$C$94:$M$94,Assumptions!$C$98:$M$98))))</f>
        <v>-2198.441695</v>
      </c>
      <c r="DA35" s="54">
        <f t="array" ref="DA35">-(IF(DA$2=1,Assumptions!$AF36/12,-(SUMIF($D$2:$EE$2,DA$2-1,$D35:$EE35)/12)*(1+XLOOKUP(DA$2,Assumptions!$C$94:$M$94,Assumptions!$C$98:$M$98))))</f>
        <v>-2198.441695</v>
      </c>
      <c r="DB35" s="54">
        <f t="array" ref="DB35">-(IF(DB$2=1,Assumptions!$AF36/12,-(SUMIF($D$2:$EE$2,DB$2-1,$D35:$EE35)/12)*(1+XLOOKUP(DB$2,Assumptions!$C$94:$M$94,Assumptions!$C$98:$M$98))))</f>
        <v>-2198.441695</v>
      </c>
      <c r="DC35" s="54">
        <f t="array" ref="DC35">-(IF(DC$2=1,Assumptions!$AF36/12,-(SUMIF($D$2:$EE$2,DC$2-1,$D35:$EE35)/12)*(1+XLOOKUP(DC$2,Assumptions!$C$94:$M$94,Assumptions!$C$98:$M$98))))</f>
        <v>-2198.441695</v>
      </c>
      <c r="DD35" s="54">
        <f t="array" ref="DD35">-(IF(DD$2=1,Assumptions!$AF36/12,-(SUMIF($D$2:$EE$2,DD$2-1,$D35:$EE35)/12)*(1+XLOOKUP(DD$2,Assumptions!$C$94:$M$94,Assumptions!$C$98:$M$98))))</f>
        <v>-2198.441695</v>
      </c>
      <c r="DE35" s="54">
        <f t="array" ref="DE35">-(IF(DE$2=1,Assumptions!$AF36/12,-(SUMIF($D$2:$EE$2,DE$2-1,$D35:$EE35)/12)*(1+XLOOKUP(DE$2,Assumptions!$C$94:$M$94,Assumptions!$C$98:$M$98))))</f>
        <v>-2198.441695</v>
      </c>
      <c r="DF35" s="54">
        <f t="array" ref="DF35">-(IF(DF$2=1,Assumptions!$AF36/12,-(SUMIF($D$2:$EE$2,DF$2-1,$D35:$EE35)/12)*(1+XLOOKUP(DF$2,Assumptions!$C$94:$M$94,Assumptions!$C$98:$M$98))))</f>
        <v>-2198.441695</v>
      </c>
      <c r="DG35" s="54">
        <f t="array" ref="DG35">-(IF(DG$2=1,Assumptions!$AF36/12,-(SUMIF($D$2:$EE$2,DG$2-1,$D35:$EE35)/12)*(1+XLOOKUP(DG$2,Assumptions!$C$94:$M$94,Assumptions!$C$98:$M$98))))</f>
        <v>-2198.441695</v>
      </c>
      <c r="DH35" s="54">
        <f t="array" ref="DH35">-(IF(DH$2=1,Assumptions!$AF36/12,-(SUMIF($D$2:$EE$2,DH$2-1,$D35:$EE35)/12)*(1+XLOOKUP(DH$2,Assumptions!$C$94:$M$94,Assumptions!$C$98:$M$98))))</f>
        <v>-2264.394946</v>
      </c>
      <c r="DI35" s="54">
        <f t="array" ref="DI35">-(IF(DI$2=1,Assumptions!$AF36/12,-(SUMIF($D$2:$EE$2,DI$2-1,$D35:$EE35)/12)*(1+XLOOKUP(DI$2,Assumptions!$C$94:$M$94,Assumptions!$C$98:$M$98))))</f>
        <v>-2264.394946</v>
      </c>
      <c r="DJ35" s="54">
        <f t="array" ref="DJ35">-(IF(DJ$2=1,Assumptions!$AF36/12,-(SUMIF($D$2:$EE$2,DJ$2-1,$D35:$EE35)/12)*(1+XLOOKUP(DJ$2,Assumptions!$C$94:$M$94,Assumptions!$C$98:$M$98))))</f>
        <v>-2264.394946</v>
      </c>
      <c r="DK35" s="54">
        <f t="array" ref="DK35">-(IF(DK$2=1,Assumptions!$AF36/12,-(SUMIF($D$2:$EE$2,DK$2-1,$D35:$EE35)/12)*(1+XLOOKUP(DK$2,Assumptions!$C$94:$M$94,Assumptions!$C$98:$M$98))))</f>
        <v>-2264.394946</v>
      </c>
      <c r="DL35" s="54">
        <f t="array" ref="DL35">-(IF(DL$2=1,Assumptions!$AF36/12,-(SUMIF($D$2:$EE$2,DL$2-1,$D35:$EE35)/12)*(1+XLOOKUP(DL$2,Assumptions!$C$94:$M$94,Assumptions!$C$98:$M$98))))</f>
        <v>-2264.394946</v>
      </c>
      <c r="DM35" s="54">
        <f t="array" ref="DM35">-(IF(DM$2=1,Assumptions!$AF36/12,-(SUMIF($D$2:$EE$2,DM$2-1,$D35:$EE35)/12)*(1+XLOOKUP(DM$2,Assumptions!$C$94:$M$94,Assumptions!$C$98:$M$98))))</f>
        <v>-2264.394946</v>
      </c>
      <c r="DN35" s="54">
        <f t="array" ref="DN35">-(IF(DN$2=1,Assumptions!$AF36/12,-(SUMIF($D$2:$EE$2,DN$2-1,$D35:$EE35)/12)*(1+XLOOKUP(DN$2,Assumptions!$C$94:$M$94,Assumptions!$C$98:$M$98))))</f>
        <v>-2264.394946</v>
      </c>
      <c r="DO35" s="54">
        <f t="array" ref="DO35">-(IF(DO$2=1,Assumptions!$AF36/12,-(SUMIF($D$2:$EE$2,DO$2-1,$D35:$EE35)/12)*(1+XLOOKUP(DO$2,Assumptions!$C$94:$M$94,Assumptions!$C$98:$M$98))))</f>
        <v>-2264.394946</v>
      </c>
      <c r="DP35" s="54">
        <f t="array" ref="DP35">-(IF(DP$2=1,Assumptions!$AF36/12,-(SUMIF($D$2:$EE$2,DP$2-1,$D35:$EE35)/12)*(1+XLOOKUP(DP$2,Assumptions!$C$94:$M$94,Assumptions!$C$98:$M$98))))</f>
        <v>-2264.394946</v>
      </c>
      <c r="DQ35" s="54">
        <f t="array" ref="DQ35">-(IF(DQ$2=1,Assumptions!$AF36/12,-(SUMIF($D$2:$EE$2,DQ$2-1,$D35:$EE35)/12)*(1+XLOOKUP(DQ$2,Assumptions!$C$94:$M$94,Assumptions!$C$98:$M$98))))</f>
        <v>-2264.394946</v>
      </c>
      <c r="DR35" s="54">
        <f t="array" ref="DR35">-(IF(DR$2=1,Assumptions!$AF36/12,-(SUMIF($D$2:$EE$2,DR$2-1,$D35:$EE35)/12)*(1+XLOOKUP(DR$2,Assumptions!$C$94:$M$94,Assumptions!$C$98:$M$98))))</f>
        <v>-2264.394946</v>
      </c>
      <c r="DS35" s="54">
        <f t="array" ref="DS35">-(IF(DS$2=1,Assumptions!$AF36/12,-(SUMIF($D$2:$EE$2,DS$2-1,$D35:$EE35)/12)*(1+XLOOKUP(DS$2,Assumptions!$C$94:$M$94,Assumptions!$C$98:$M$98))))</f>
        <v>-2264.394946</v>
      </c>
      <c r="DT35" s="54">
        <f t="array" ref="DT35">-(IF(DT$2=1,Assumptions!$AF36/12,-(SUMIF($D$2:$EE$2,DT$2-1,$D35:$EE35)/12)*(1+XLOOKUP(DT$2,Assumptions!$C$94:$M$94,Assumptions!$C$98:$M$98))))</f>
        <v>-2332.326794</v>
      </c>
      <c r="DU35" s="54">
        <f t="array" ref="DU35">-(IF(DU$2=1,Assumptions!$AF36/12,-(SUMIF($D$2:$EE$2,DU$2-1,$D35:$EE35)/12)*(1+XLOOKUP(DU$2,Assumptions!$C$94:$M$94,Assumptions!$C$98:$M$98))))</f>
        <v>-2332.326794</v>
      </c>
      <c r="DV35" s="54">
        <f t="array" ref="DV35">-(IF(DV$2=1,Assumptions!$AF36/12,-(SUMIF($D$2:$EE$2,DV$2-1,$D35:$EE35)/12)*(1+XLOOKUP(DV$2,Assumptions!$C$94:$M$94,Assumptions!$C$98:$M$98))))</f>
        <v>-2332.326794</v>
      </c>
      <c r="DW35" s="54">
        <f t="array" ref="DW35">-(IF(DW$2=1,Assumptions!$AF36/12,-(SUMIF($D$2:$EE$2,DW$2-1,$D35:$EE35)/12)*(1+XLOOKUP(DW$2,Assumptions!$C$94:$M$94,Assumptions!$C$98:$M$98))))</f>
        <v>-2332.326794</v>
      </c>
      <c r="DX35" s="54">
        <f t="array" ref="DX35">-(IF(DX$2=1,Assumptions!$AF36/12,-(SUMIF($D$2:$EE$2,DX$2-1,$D35:$EE35)/12)*(1+XLOOKUP(DX$2,Assumptions!$C$94:$M$94,Assumptions!$C$98:$M$98))))</f>
        <v>-2332.326794</v>
      </c>
      <c r="DY35" s="54">
        <f t="array" ref="DY35">-(IF(DY$2=1,Assumptions!$AF36/12,-(SUMIF($D$2:$EE$2,DY$2-1,$D35:$EE35)/12)*(1+XLOOKUP(DY$2,Assumptions!$C$94:$M$94,Assumptions!$C$98:$M$98))))</f>
        <v>-2332.326794</v>
      </c>
      <c r="DZ35" s="54">
        <f t="array" ref="DZ35">-(IF(DZ$2=1,Assumptions!$AF36/12,-(SUMIF($D$2:$EE$2,DZ$2-1,$D35:$EE35)/12)*(1+XLOOKUP(DZ$2,Assumptions!$C$94:$M$94,Assumptions!$C$98:$M$98))))</f>
        <v>-2332.326794</v>
      </c>
      <c r="EA35" s="54">
        <f t="array" ref="EA35">-(IF(EA$2=1,Assumptions!$AF36/12,-(SUMIF($D$2:$EE$2,EA$2-1,$D35:$EE35)/12)*(1+XLOOKUP(EA$2,Assumptions!$C$94:$M$94,Assumptions!$C$98:$M$98))))</f>
        <v>-2332.326794</v>
      </c>
      <c r="EB35" s="54">
        <f t="array" ref="EB35">-(IF(EB$2=1,Assumptions!$AF36/12,-(SUMIF($D$2:$EE$2,EB$2-1,$D35:$EE35)/12)*(1+XLOOKUP(EB$2,Assumptions!$C$94:$M$94,Assumptions!$C$98:$M$98))))</f>
        <v>-2332.326794</v>
      </c>
      <c r="EC35" s="54">
        <f t="array" ref="EC35">-(IF(EC$2=1,Assumptions!$AF36/12,-(SUMIF($D$2:$EE$2,EC$2-1,$D35:$EE35)/12)*(1+XLOOKUP(EC$2,Assumptions!$C$94:$M$94,Assumptions!$C$98:$M$98))))</f>
        <v>-2332.326794</v>
      </c>
      <c r="ED35" s="54">
        <f t="array" ref="ED35">-(IF(ED$2=1,Assumptions!$AF36/12,-(SUMIF($D$2:$EE$2,ED$2-1,$D35:$EE35)/12)*(1+XLOOKUP(ED$2,Assumptions!$C$94:$M$94,Assumptions!$C$98:$M$98))))</f>
        <v>-2332.326794</v>
      </c>
      <c r="EE35" s="54">
        <f t="array" ref="EE35">-(IF(EE$2=1,Assumptions!$AF36/12,-(SUMIF($D$2:$EE$2,EE$2-1,$D35:$EE35)/12)*(1+XLOOKUP(EE$2,Assumptions!$C$94:$M$94,Assumptions!$C$98:$M$98))))</f>
        <v>-2332.326794</v>
      </c>
    </row>
    <row r="36" ht="15.75" customHeight="1">
      <c r="A36" s="1"/>
      <c r="B36" s="92"/>
      <c r="C36" s="47" t="str">
        <f>Assumptions!J37</f>
        <v>Total Operating Expenses</v>
      </c>
      <c r="D36" s="209">
        <f t="shared" ref="D36:EE36" si="6">SUM(D24:D35)</f>
        <v>-94440.98289</v>
      </c>
      <c r="E36" s="209">
        <f t="shared" si="6"/>
        <v>-94440.98289</v>
      </c>
      <c r="F36" s="209">
        <f t="shared" si="6"/>
        <v>-94440.98289</v>
      </c>
      <c r="G36" s="209">
        <f t="shared" si="6"/>
        <v>-94440.98289</v>
      </c>
      <c r="H36" s="209">
        <f t="shared" si="6"/>
        <v>-94440.98289</v>
      </c>
      <c r="I36" s="209">
        <f t="shared" si="6"/>
        <v>-94440.98289</v>
      </c>
      <c r="J36" s="209">
        <f t="shared" si="6"/>
        <v>-94440.98289</v>
      </c>
      <c r="K36" s="209">
        <f t="shared" si="6"/>
        <v>-94440.98289</v>
      </c>
      <c r="L36" s="209">
        <f t="shared" si="6"/>
        <v>-94440.98289</v>
      </c>
      <c r="M36" s="209">
        <f t="shared" si="6"/>
        <v>-94440.98289</v>
      </c>
      <c r="N36" s="209">
        <f t="shared" si="6"/>
        <v>-94440.98289</v>
      </c>
      <c r="O36" s="209">
        <f t="shared" si="6"/>
        <v>-94440.98289</v>
      </c>
      <c r="P36" s="209">
        <f t="shared" si="6"/>
        <v>-97446.88856</v>
      </c>
      <c r="Q36" s="209">
        <f t="shared" si="6"/>
        <v>-97446.88856</v>
      </c>
      <c r="R36" s="209">
        <f t="shared" si="6"/>
        <v>-97446.88856</v>
      </c>
      <c r="S36" s="209">
        <f t="shared" si="6"/>
        <v>-97446.88856</v>
      </c>
      <c r="T36" s="209">
        <f t="shared" si="6"/>
        <v>-97446.88856</v>
      </c>
      <c r="U36" s="209">
        <f t="shared" si="6"/>
        <v>-97446.88856</v>
      </c>
      <c r="V36" s="209">
        <f t="shared" si="6"/>
        <v>-97446.88856</v>
      </c>
      <c r="W36" s="209">
        <f t="shared" si="6"/>
        <v>-97446.88856</v>
      </c>
      <c r="X36" s="209">
        <f t="shared" si="6"/>
        <v>-97446.88856</v>
      </c>
      <c r="Y36" s="209">
        <f t="shared" si="6"/>
        <v>-97446.88856</v>
      </c>
      <c r="Z36" s="209">
        <f t="shared" si="6"/>
        <v>-97446.88856</v>
      </c>
      <c r="AA36" s="209">
        <f t="shared" si="6"/>
        <v>-97446.88856</v>
      </c>
      <c r="AB36" s="209">
        <f t="shared" si="6"/>
        <v>-100370.2952</v>
      </c>
      <c r="AC36" s="209">
        <f t="shared" si="6"/>
        <v>-100370.2952</v>
      </c>
      <c r="AD36" s="209">
        <f t="shared" si="6"/>
        <v>-100370.2952</v>
      </c>
      <c r="AE36" s="209">
        <f t="shared" si="6"/>
        <v>-100370.2952</v>
      </c>
      <c r="AF36" s="209">
        <f t="shared" si="6"/>
        <v>-100370.2952</v>
      </c>
      <c r="AG36" s="209">
        <f t="shared" si="6"/>
        <v>-100370.2952</v>
      </c>
      <c r="AH36" s="209">
        <f t="shared" si="6"/>
        <v>-100370.2952</v>
      </c>
      <c r="AI36" s="209">
        <f t="shared" si="6"/>
        <v>-100370.2952</v>
      </c>
      <c r="AJ36" s="209">
        <f t="shared" si="6"/>
        <v>-100370.2952</v>
      </c>
      <c r="AK36" s="209">
        <f t="shared" si="6"/>
        <v>-100370.2952</v>
      </c>
      <c r="AL36" s="209">
        <f t="shared" si="6"/>
        <v>-100370.2952</v>
      </c>
      <c r="AM36" s="209">
        <f t="shared" si="6"/>
        <v>-100370.2952</v>
      </c>
      <c r="AN36" s="209">
        <f t="shared" si="6"/>
        <v>-103381.4041</v>
      </c>
      <c r="AO36" s="209">
        <f t="shared" si="6"/>
        <v>-103381.4041</v>
      </c>
      <c r="AP36" s="209">
        <f t="shared" si="6"/>
        <v>-103381.4041</v>
      </c>
      <c r="AQ36" s="209">
        <f t="shared" si="6"/>
        <v>-103381.4041</v>
      </c>
      <c r="AR36" s="209">
        <f t="shared" si="6"/>
        <v>-103381.4041</v>
      </c>
      <c r="AS36" s="209">
        <f t="shared" si="6"/>
        <v>-103381.4041</v>
      </c>
      <c r="AT36" s="209">
        <f t="shared" si="6"/>
        <v>-103381.4041</v>
      </c>
      <c r="AU36" s="209">
        <f t="shared" si="6"/>
        <v>-103381.4041</v>
      </c>
      <c r="AV36" s="209">
        <f t="shared" si="6"/>
        <v>-103381.4041</v>
      </c>
      <c r="AW36" s="209">
        <f t="shared" si="6"/>
        <v>-103381.4041</v>
      </c>
      <c r="AX36" s="209">
        <f t="shared" si="6"/>
        <v>-103381.4041</v>
      </c>
      <c r="AY36" s="209">
        <f t="shared" si="6"/>
        <v>-103381.4041</v>
      </c>
      <c r="AZ36" s="209">
        <f t="shared" si="6"/>
        <v>-106482.8462</v>
      </c>
      <c r="BA36" s="209">
        <f t="shared" si="6"/>
        <v>-106482.8462</v>
      </c>
      <c r="BB36" s="209">
        <f t="shared" si="6"/>
        <v>-106482.8462</v>
      </c>
      <c r="BC36" s="209">
        <f t="shared" si="6"/>
        <v>-106482.8462</v>
      </c>
      <c r="BD36" s="209">
        <f t="shared" si="6"/>
        <v>-106482.8462</v>
      </c>
      <c r="BE36" s="209">
        <f t="shared" si="6"/>
        <v>-106482.8462</v>
      </c>
      <c r="BF36" s="209">
        <f t="shared" si="6"/>
        <v>-106482.8462</v>
      </c>
      <c r="BG36" s="209">
        <f t="shared" si="6"/>
        <v>-106482.8462</v>
      </c>
      <c r="BH36" s="209">
        <f t="shared" si="6"/>
        <v>-106482.8462</v>
      </c>
      <c r="BI36" s="209">
        <f t="shared" si="6"/>
        <v>-106482.8462</v>
      </c>
      <c r="BJ36" s="209">
        <f t="shared" si="6"/>
        <v>-106482.8462</v>
      </c>
      <c r="BK36" s="209">
        <f t="shared" si="6"/>
        <v>-106482.8462</v>
      </c>
      <c r="BL36" s="209">
        <f t="shared" si="6"/>
        <v>-109677.3316</v>
      </c>
      <c r="BM36" s="209">
        <f t="shared" si="6"/>
        <v>-109677.3316</v>
      </c>
      <c r="BN36" s="209">
        <f t="shared" si="6"/>
        <v>-109677.3316</v>
      </c>
      <c r="BO36" s="209">
        <f t="shared" si="6"/>
        <v>-109677.3316</v>
      </c>
      <c r="BP36" s="209">
        <f t="shared" si="6"/>
        <v>-109677.3316</v>
      </c>
      <c r="BQ36" s="209">
        <f t="shared" si="6"/>
        <v>-109677.3316</v>
      </c>
      <c r="BR36" s="209">
        <f t="shared" si="6"/>
        <v>-109677.3316</v>
      </c>
      <c r="BS36" s="209">
        <f t="shared" si="6"/>
        <v>-109677.3316</v>
      </c>
      <c r="BT36" s="209">
        <f t="shared" si="6"/>
        <v>-109677.3316</v>
      </c>
      <c r="BU36" s="209">
        <f t="shared" si="6"/>
        <v>-109677.3316</v>
      </c>
      <c r="BV36" s="209">
        <f t="shared" si="6"/>
        <v>-109677.3316</v>
      </c>
      <c r="BW36" s="209">
        <f t="shared" si="6"/>
        <v>-109677.3316</v>
      </c>
      <c r="BX36" s="209">
        <f t="shared" si="6"/>
        <v>-112967.6515</v>
      </c>
      <c r="BY36" s="209">
        <f t="shared" si="6"/>
        <v>-112967.6515</v>
      </c>
      <c r="BZ36" s="209">
        <f t="shared" si="6"/>
        <v>-112967.6515</v>
      </c>
      <c r="CA36" s="209">
        <f t="shared" si="6"/>
        <v>-112967.6515</v>
      </c>
      <c r="CB36" s="209">
        <f t="shared" si="6"/>
        <v>-112967.6515</v>
      </c>
      <c r="CC36" s="209">
        <f t="shared" si="6"/>
        <v>-112967.6515</v>
      </c>
      <c r="CD36" s="209">
        <f t="shared" si="6"/>
        <v>-112967.6515</v>
      </c>
      <c r="CE36" s="209">
        <f t="shared" si="6"/>
        <v>-112967.6515</v>
      </c>
      <c r="CF36" s="209">
        <f t="shared" si="6"/>
        <v>-112967.6515</v>
      </c>
      <c r="CG36" s="209">
        <f t="shared" si="6"/>
        <v>-112967.6515</v>
      </c>
      <c r="CH36" s="209">
        <f t="shared" si="6"/>
        <v>-112967.6515</v>
      </c>
      <c r="CI36" s="209">
        <f t="shared" si="6"/>
        <v>-112967.6515</v>
      </c>
      <c r="CJ36" s="209">
        <f t="shared" si="6"/>
        <v>-116356.6811</v>
      </c>
      <c r="CK36" s="209">
        <f t="shared" si="6"/>
        <v>-116356.6811</v>
      </c>
      <c r="CL36" s="209">
        <f t="shared" si="6"/>
        <v>-116356.6811</v>
      </c>
      <c r="CM36" s="209">
        <f t="shared" si="6"/>
        <v>-116356.6811</v>
      </c>
      <c r="CN36" s="209">
        <f t="shared" si="6"/>
        <v>-116356.6811</v>
      </c>
      <c r="CO36" s="209">
        <f t="shared" si="6"/>
        <v>-116356.6811</v>
      </c>
      <c r="CP36" s="209">
        <f t="shared" si="6"/>
        <v>-116356.6811</v>
      </c>
      <c r="CQ36" s="209">
        <f t="shared" si="6"/>
        <v>-116356.6811</v>
      </c>
      <c r="CR36" s="209">
        <f t="shared" si="6"/>
        <v>-116356.6811</v>
      </c>
      <c r="CS36" s="209">
        <f t="shared" si="6"/>
        <v>-116356.6811</v>
      </c>
      <c r="CT36" s="209">
        <f t="shared" si="6"/>
        <v>-116356.6811</v>
      </c>
      <c r="CU36" s="209">
        <f t="shared" si="6"/>
        <v>-116356.6811</v>
      </c>
      <c r="CV36" s="209">
        <f t="shared" si="6"/>
        <v>-119847.3815</v>
      </c>
      <c r="CW36" s="209">
        <f t="shared" si="6"/>
        <v>-119847.3815</v>
      </c>
      <c r="CX36" s="209">
        <f t="shared" si="6"/>
        <v>-119847.3815</v>
      </c>
      <c r="CY36" s="209">
        <f t="shared" si="6"/>
        <v>-119847.3815</v>
      </c>
      <c r="CZ36" s="209">
        <f t="shared" si="6"/>
        <v>-119847.3815</v>
      </c>
      <c r="DA36" s="209">
        <f t="shared" si="6"/>
        <v>-119847.3815</v>
      </c>
      <c r="DB36" s="209">
        <f t="shared" si="6"/>
        <v>-119847.3815</v>
      </c>
      <c r="DC36" s="209">
        <f t="shared" si="6"/>
        <v>-119847.3815</v>
      </c>
      <c r="DD36" s="209">
        <f t="shared" si="6"/>
        <v>-119847.3815</v>
      </c>
      <c r="DE36" s="209">
        <f t="shared" si="6"/>
        <v>-119847.3815</v>
      </c>
      <c r="DF36" s="209">
        <f t="shared" si="6"/>
        <v>-119847.3815</v>
      </c>
      <c r="DG36" s="209">
        <f t="shared" si="6"/>
        <v>-119847.3815</v>
      </c>
      <c r="DH36" s="209">
        <f t="shared" si="6"/>
        <v>-123224.0619</v>
      </c>
      <c r="DI36" s="209">
        <f t="shared" si="6"/>
        <v>-123224.0619</v>
      </c>
      <c r="DJ36" s="209">
        <f t="shared" si="6"/>
        <v>-123224.0619</v>
      </c>
      <c r="DK36" s="209">
        <f t="shared" si="6"/>
        <v>-123224.0619</v>
      </c>
      <c r="DL36" s="209">
        <f t="shared" si="6"/>
        <v>-123224.0619</v>
      </c>
      <c r="DM36" s="209">
        <f t="shared" si="6"/>
        <v>-123224.0619</v>
      </c>
      <c r="DN36" s="209">
        <f t="shared" si="6"/>
        <v>-123224.0619</v>
      </c>
      <c r="DO36" s="209">
        <f t="shared" si="6"/>
        <v>-123224.0619</v>
      </c>
      <c r="DP36" s="209">
        <f t="shared" si="6"/>
        <v>-123224.0619</v>
      </c>
      <c r="DQ36" s="209">
        <f t="shared" si="6"/>
        <v>-123224.0619</v>
      </c>
      <c r="DR36" s="209">
        <f t="shared" si="6"/>
        <v>-123224.0619</v>
      </c>
      <c r="DS36" s="209">
        <f t="shared" si="6"/>
        <v>-123224.0619</v>
      </c>
      <c r="DT36" s="209">
        <f t="shared" si="6"/>
        <v>-127146.087</v>
      </c>
      <c r="DU36" s="209">
        <f t="shared" si="6"/>
        <v>-127146.087</v>
      </c>
      <c r="DV36" s="209">
        <f t="shared" si="6"/>
        <v>-127146.087</v>
      </c>
      <c r="DW36" s="209">
        <f t="shared" si="6"/>
        <v>-127146.087</v>
      </c>
      <c r="DX36" s="209">
        <f t="shared" si="6"/>
        <v>-127146.087</v>
      </c>
      <c r="DY36" s="209">
        <f t="shared" si="6"/>
        <v>-127146.087</v>
      </c>
      <c r="DZ36" s="209">
        <f t="shared" si="6"/>
        <v>-127146.087</v>
      </c>
      <c r="EA36" s="209">
        <f t="shared" si="6"/>
        <v>-127146.087</v>
      </c>
      <c r="EB36" s="209">
        <f t="shared" si="6"/>
        <v>-127146.087</v>
      </c>
      <c r="EC36" s="209">
        <f t="shared" si="6"/>
        <v>-127146.087</v>
      </c>
      <c r="ED36" s="209">
        <f t="shared" si="6"/>
        <v>-127146.087</v>
      </c>
      <c r="EE36" s="209">
        <f t="shared" si="6"/>
        <v>-127146.087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7"/>
      <c r="C38" s="47" t="str">
        <f>Assumptions!J39</f>
        <v>Net Operating Income</v>
      </c>
      <c r="D38" s="213">
        <f>IF(OR(D$1=Assumptions!$B$115,D$1=Assumptions!$C$115,D$1=Assumptions!$D$115,D$1=Assumptions!$E$115,D$1=Assumptions!$F$115),(Assumptions!$C$105*D$21)+(SUM(D28+D30+D32+D33+D34)+(Assumptions!$C$105*SUM(D$24:D$27,D$29,D$31,D$35))),(D$21+D$36))</f>
        <v>99381.45282</v>
      </c>
      <c r="E38" s="213">
        <f>IF(OR(E$1=Assumptions!$B$115,E$1=Assumptions!$C$115,E$1=Assumptions!$D$115,E$1=Assumptions!$E$115,E$1=Assumptions!$F$115),(Assumptions!$C$105*E$21)+(SUM(E28+E30+E32+E33+E34)+(Assumptions!$C$105*SUM(E$24:E$27,E$29,E$31,E$35))),(E$21+E$36))</f>
        <v>99381.45282</v>
      </c>
      <c r="F38" s="213">
        <f>IF(OR(F$1=Assumptions!$B$115,F$1=Assumptions!$C$115,F$1=Assumptions!$D$115,F$1=Assumptions!$E$115,F$1=Assumptions!$F$115),(Assumptions!$C$105*F$21)+(SUM(F28+F30+F32+F33+F34)+(Assumptions!$C$105*SUM(F$24:F$27,F$29,F$31,F$35))),(F$21+F$36))</f>
        <v>99381.45282</v>
      </c>
      <c r="G38" s="213">
        <f>IF(OR(G$1=Assumptions!$B$115,G$1=Assumptions!$C$115,G$1=Assumptions!$D$115,G$1=Assumptions!$E$115,G$1=Assumptions!$F$115),(Assumptions!$C$105*G$21)+(SUM(G28+G30+G32+G33+G34)+(Assumptions!$C$105*SUM(G$24:G$27,G$29,G$31,G$35))),(G$21+G$36))</f>
        <v>99381.45282</v>
      </c>
      <c r="H38" s="213">
        <f>IF(OR(H$1=Assumptions!$B$115,H$1=Assumptions!$C$115,H$1=Assumptions!$D$115,H$1=Assumptions!$E$115,H$1=Assumptions!$F$115),(Assumptions!$C$105*H$21)+(SUM(H28+H30+H32+H33+H34)+(Assumptions!$C$105*SUM(H$24:H$27,H$29,H$31,H$35))),(H$21+H$36))</f>
        <v>99381.45282</v>
      </c>
      <c r="I38" s="213">
        <f>IF(OR(I$1=Assumptions!$B$115,I$1=Assumptions!$C$115,I$1=Assumptions!$D$115,I$1=Assumptions!$E$115,I$1=Assumptions!$F$115),(Assumptions!$C$105*I$21)+(SUM(I28+I30+I32+I33+I34)+(Assumptions!$C$105*SUM(I$24:I$27,I$29,I$31,I$35))),(I$21+I$36))</f>
        <v>99381.45282</v>
      </c>
      <c r="J38" s="213">
        <f>IF(OR(J$1=Assumptions!$B$115,J$1=Assumptions!$C$115,J$1=Assumptions!$D$115,J$1=Assumptions!$E$115,J$1=Assumptions!$F$115),(Assumptions!$C$105*J$21)+(SUM(J28+J30+J32+J33+J34)+(Assumptions!$C$105*SUM(J$24:J$27,J$29,J$31,J$35))),(J$21+J$36))</f>
        <v>99381.45282</v>
      </c>
      <c r="K38" s="213">
        <f>IF(OR(K$1=Assumptions!$B$115,K$1=Assumptions!$C$115,K$1=Assumptions!$D$115,K$1=Assumptions!$E$115,K$1=Assumptions!$F$115),(Assumptions!$C$105*K$21)+(SUM(K28+K30+K32+K33+K34)+(Assumptions!$C$105*SUM(K$24:K$27,K$29,K$31,K$35))),(K$21+K$36))</f>
        <v>99381.45282</v>
      </c>
      <c r="L38" s="213">
        <f>IF(OR(L$1=Assumptions!$B$115,L$1=Assumptions!$C$115,L$1=Assumptions!$D$115,L$1=Assumptions!$E$115,L$1=Assumptions!$F$115),(Assumptions!$C$105*L$21)+(SUM(L28+L30+L32+L33+L34)+(Assumptions!$C$105*SUM(L$24:L$27,L$29,L$31,L$35))),(L$21+L$36))</f>
        <v>99381.45282</v>
      </c>
      <c r="M38" s="213">
        <f>IF(OR(M$1=Assumptions!$B$115,M$1=Assumptions!$C$115,M$1=Assumptions!$D$115,M$1=Assumptions!$E$115,M$1=Assumptions!$F$115),(Assumptions!$C$105*M$21)+(SUM(M28+M30+M32+M33+M34)+(Assumptions!$C$105*SUM(M$24:M$27,M$29,M$31,M$35))),(M$21+M$36))</f>
        <v>99381.45282</v>
      </c>
      <c r="N38" s="213">
        <f>IF(OR(N$1=Assumptions!$B$115,N$1=Assumptions!$C$115,N$1=Assumptions!$D$115,N$1=Assumptions!$E$115,N$1=Assumptions!$F$115),(Assumptions!$C$105*N$21)+(SUM(N28+N30+N32+N33+N34)+(Assumptions!$C$105*SUM(N$24:N$27,N$29,N$31,N$35))),(N$21+N$36))</f>
        <v>99381.45282</v>
      </c>
      <c r="O38" s="213">
        <f>IF(OR(O$1=Assumptions!$B$115,O$1=Assumptions!$C$115,O$1=Assumptions!$D$115,O$1=Assumptions!$E$115,O$1=Assumptions!$F$115),(Assumptions!$C$105*O$21)+(SUM(O28+O30+O32+O33+O34)+(Assumptions!$C$105*SUM(O$24:O$27,O$29,O$31,O$35))),(O$21+O$36))</f>
        <v>99381.45282</v>
      </c>
      <c r="P38" s="213">
        <f>IF(OR(P$1=Assumptions!$B$115,P$1=Assumptions!$C$115,P$1=Assumptions!$D$115,P$1=Assumptions!$E$115,P$1=Assumptions!$F$115),(Assumptions!$C$105*P$21)+(SUM(P28+P30+P32+P33+P34)+(Assumptions!$C$105*SUM(P$24:P$27,P$29,P$31,P$35))),(P$21+P$36))</f>
        <v>116142.3499</v>
      </c>
      <c r="Q38" s="213">
        <f>IF(OR(Q$1=Assumptions!$B$115,Q$1=Assumptions!$C$115,Q$1=Assumptions!$D$115,Q$1=Assumptions!$E$115,Q$1=Assumptions!$F$115),(Assumptions!$C$105*Q$21)+(SUM(Q28+Q30+Q32+Q33+Q34)+(Assumptions!$C$105*SUM(Q$24:Q$27,Q$29,Q$31,Q$35))),(Q$21+Q$36))</f>
        <v>116142.3499</v>
      </c>
      <c r="R38" s="213">
        <f>IF(OR(R$1=Assumptions!$B$115,R$1=Assumptions!$C$115,R$1=Assumptions!$D$115,R$1=Assumptions!$E$115,R$1=Assumptions!$F$115),(Assumptions!$C$105*R$21)+(SUM(R28+R30+R32+R33+R34)+(Assumptions!$C$105*SUM(R$24:R$27,R$29,R$31,R$35))),(R$21+R$36))</f>
        <v>116142.3499</v>
      </c>
      <c r="S38" s="213">
        <f>IF(OR(S$1=Assumptions!$B$115,S$1=Assumptions!$C$115,S$1=Assumptions!$D$115,S$1=Assumptions!$E$115,S$1=Assumptions!$F$115),(Assumptions!$C$105*S$21)+(SUM(S28+S30+S32+S33+S34)+(Assumptions!$C$105*SUM(S$24:S$27,S$29,S$31,S$35))),(S$21+S$36))</f>
        <v>116142.3499</v>
      </c>
      <c r="T38" s="213">
        <f>IF(OR(T$1=Assumptions!$B$115,T$1=Assumptions!$C$115,T$1=Assumptions!$D$115,T$1=Assumptions!$E$115,T$1=Assumptions!$F$115),(Assumptions!$C$105*T$21)+(SUM(T28+T30+T32+T33+T34)+(Assumptions!$C$105*SUM(T$24:T$27,T$29,T$31,T$35))),(T$21+T$36))</f>
        <v>116142.3499</v>
      </c>
      <c r="U38" s="213">
        <f>IF(OR(U$1=Assumptions!$B$115,U$1=Assumptions!$C$115,U$1=Assumptions!$D$115,U$1=Assumptions!$E$115,U$1=Assumptions!$F$115),(Assumptions!$C$105*U$21)+(SUM(U28+U30+U32+U33+U34)+(Assumptions!$C$105*SUM(U$24:U$27,U$29,U$31,U$35))),(U$21+U$36))</f>
        <v>116142.3499</v>
      </c>
      <c r="V38" s="213">
        <f>IF(OR(V$1=Assumptions!$B$115,V$1=Assumptions!$C$115,V$1=Assumptions!$D$115,V$1=Assumptions!$E$115,V$1=Assumptions!$F$115),(Assumptions!$C$105*V$21)+(SUM(V28+V30+V32+V33+V34)+(Assumptions!$C$105*SUM(V$24:V$27,V$29,V$31,V$35))),(V$21+V$36))</f>
        <v>116142.3499</v>
      </c>
      <c r="W38" s="213">
        <f>IF(OR(W$1=Assumptions!$B$115,W$1=Assumptions!$C$115,W$1=Assumptions!$D$115,W$1=Assumptions!$E$115,W$1=Assumptions!$F$115),(Assumptions!$C$105*W$21)+(SUM(W28+W30+W32+W33+W34)+(Assumptions!$C$105*SUM(W$24:W$27,W$29,W$31,W$35))),(W$21+W$36))</f>
        <v>116142.3499</v>
      </c>
      <c r="X38" s="213">
        <f>IF(OR(X$1=Assumptions!$B$115,X$1=Assumptions!$C$115,X$1=Assumptions!$D$115,X$1=Assumptions!$E$115,X$1=Assumptions!$F$115),(Assumptions!$C$105*X$21)+(SUM(X28+X30+X32+X33+X34)+(Assumptions!$C$105*SUM(X$24:X$27,X$29,X$31,X$35))),(X$21+X$36))</f>
        <v>116142.3499</v>
      </c>
      <c r="Y38" s="213">
        <f>IF(OR(Y$1=Assumptions!$B$115,Y$1=Assumptions!$C$115,Y$1=Assumptions!$D$115,Y$1=Assumptions!$E$115,Y$1=Assumptions!$F$115),(Assumptions!$C$105*Y$21)+(SUM(Y28+Y30+Y32+Y33+Y34)+(Assumptions!$C$105*SUM(Y$24:Y$27,Y$29,Y$31,Y$35))),(Y$21+Y$36))</f>
        <v>116142.3499</v>
      </c>
      <c r="Z38" s="213">
        <f>IF(OR(Z$1=Assumptions!$B$115,Z$1=Assumptions!$C$115,Z$1=Assumptions!$D$115,Z$1=Assumptions!$E$115,Z$1=Assumptions!$F$115),(Assumptions!$C$105*Z$21)+(SUM(Z28+Z30+Z32+Z33+Z34)+(Assumptions!$C$105*SUM(Z$24:Z$27,Z$29,Z$31,Z$35))),(Z$21+Z$36))</f>
        <v>116142.3499</v>
      </c>
      <c r="AA38" s="213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116142.3499</v>
      </c>
      <c r="AB38" s="213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119626.6204</v>
      </c>
      <c r="AC38" s="213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119626.6204</v>
      </c>
      <c r="AD38" s="213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119626.6204</v>
      </c>
      <c r="AE38" s="213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119626.6204</v>
      </c>
      <c r="AF38" s="213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119626.6204</v>
      </c>
      <c r="AG38" s="213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119626.6204</v>
      </c>
      <c r="AH38" s="213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119626.6204</v>
      </c>
      <c r="AI38" s="213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119626.6204</v>
      </c>
      <c r="AJ38" s="213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119626.6204</v>
      </c>
      <c r="AK38" s="213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119626.6204</v>
      </c>
      <c r="AL38" s="213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119626.6204</v>
      </c>
      <c r="AM38" s="213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119626.6204</v>
      </c>
      <c r="AN38" s="213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123215.419</v>
      </c>
      <c r="AO38" s="213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123215.419</v>
      </c>
      <c r="AP38" s="213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123215.419</v>
      </c>
      <c r="AQ38" s="213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123215.419</v>
      </c>
      <c r="AR38" s="213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123215.419</v>
      </c>
      <c r="AS38" s="213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123215.419</v>
      </c>
      <c r="AT38" s="213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123215.419</v>
      </c>
      <c r="AU38" s="213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123215.419</v>
      </c>
      <c r="AV38" s="213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123215.419</v>
      </c>
      <c r="AW38" s="213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123215.419</v>
      </c>
      <c r="AX38" s="213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123215.419</v>
      </c>
      <c r="AY38" s="213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123215.419</v>
      </c>
      <c r="AZ38" s="213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126911.8816</v>
      </c>
      <c r="BA38" s="213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126911.8816</v>
      </c>
      <c r="BB38" s="213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126911.8816</v>
      </c>
      <c r="BC38" s="213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126911.8816</v>
      </c>
      <c r="BD38" s="213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126911.8816</v>
      </c>
      <c r="BE38" s="213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126911.8816</v>
      </c>
      <c r="BF38" s="213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126911.8816</v>
      </c>
      <c r="BG38" s="213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126911.8816</v>
      </c>
      <c r="BH38" s="213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126911.8816</v>
      </c>
      <c r="BI38" s="213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126911.8816</v>
      </c>
      <c r="BJ38" s="213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126911.8816</v>
      </c>
      <c r="BK38" s="213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126911.8816</v>
      </c>
      <c r="BL38" s="213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130719.2381</v>
      </c>
      <c r="BM38" s="213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130719.2381</v>
      </c>
      <c r="BN38" s="213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130719.2381</v>
      </c>
      <c r="BO38" s="213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130719.2381</v>
      </c>
      <c r="BP38" s="213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130719.2381</v>
      </c>
      <c r="BQ38" s="213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130719.2381</v>
      </c>
      <c r="BR38" s="213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130719.2381</v>
      </c>
      <c r="BS38" s="213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130719.2381</v>
      </c>
      <c r="BT38" s="213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130719.2381</v>
      </c>
      <c r="BU38" s="213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130719.2381</v>
      </c>
      <c r="BV38" s="213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130719.2381</v>
      </c>
      <c r="BW38" s="213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130719.2381</v>
      </c>
      <c r="BX38" s="213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134640.8152</v>
      </c>
      <c r="BY38" s="213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134640.8152</v>
      </c>
      <c r="BZ38" s="213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134640.8152</v>
      </c>
      <c r="CA38" s="213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134640.8152</v>
      </c>
      <c r="CB38" s="213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134640.8152</v>
      </c>
      <c r="CC38" s="213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134640.8152</v>
      </c>
      <c r="CD38" s="213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134640.8152</v>
      </c>
      <c r="CE38" s="213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134640.8152</v>
      </c>
      <c r="CF38" s="213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134640.8152</v>
      </c>
      <c r="CG38" s="213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134640.8152</v>
      </c>
      <c r="CH38" s="213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134640.8152</v>
      </c>
      <c r="CI38" s="213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134640.8152</v>
      </c>
      <c r="CJ38" s="213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138680.0397</v>
      </c>
      <c r="CK38" s="213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138680.0397</v>
      </c>
      <c r="CL38" s="213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138680.0397</v>
      </c>
      <c r="CM38" s="213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138680.0397</v>
      </c>
      <c r="CN38" s="213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138680.0397</v>
      </c>
      <c r="CO38" s="213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138680.0397</v>
      </c>
      <c r="CP38" s="213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138680.0397</v>
      </c>
      <c r="CQ38" s="213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138680.0397</v>
      </c>
      <c r="CR38" s="213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138680.0397</v>
      </c>
      <c r="CS38" s="213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138680.0397</v>
      </c>
      <c r="CT38" s="213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138680.0397</v>
      </c>
      <c r="CU38" s="213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138680.0397</v>
      </c>
      <c r="CV38" s="213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142840.4408</v>
      </c>
      <c r="CW38" s="213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142840.4408</v>
      </c>
      <c r="CX38" s="213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142840.4408</v>
      </c>
      <c r="CY38" s="213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142840.4408</v>
      </c>
      <c r="CZ38" s="213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142840.4408</v>
      </c>
      <c r="DA38" s="213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142840.4408</v>
      </c>
      <c r="DB38" s="213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142840.4408</v>
      </c>
      <c r="DC38" s="213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142840.4408</v>
      </c>
      <c r="DD38" s="213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142840.4408</v>
      </c>
      <c r="DE38" s="213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142840.4408</v>
      </c>
      <c r="DF38" s="213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142840.4408</v>
      </c>
      <c r="DG38" s="213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142840.4408</v>
      </c>
      <c r="DH38" s="213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140053.0277</v>
      </c>
      <c r="DI38" s="213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140053.0277</v>
      </c>
      <c r="DJ38" s="213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140053.0277</v>
      </c>
      <c r="DK38" s="213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140053.0277</v>
      </c>
      <c r="DL38" s="213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140053.0277</v>
      </c>
      <c r="DM38" s="213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140053.0277</v>
      </c>
      <c r="DN38" s="213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140053.0277</v>
      </c>
      <c r="DO38" s="213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140053.0277</v>
      </c>
      <c r="DP38" s="213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140053.0277</v>
      </c>
      <c r="DQ38" s="213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140053.0277</v>
      </c>
      <c r="DR38" s="213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140053.0277</v>
      </c>
      <c r="DS38" s="213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140053.0277</v>
      </c>
      <c r="DT38" s="213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151539.4237</v>
      </c>
      <c r="DU38" s="213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151539.4237</v>
      </c>
      <c r="DV38" s="213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151539.4237</v>
      </c>
      <c r="DW38" s="213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151539.4237</v>
      </c>
      <c r="DX38" s="213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151539.4237</v>
      </c>
      <c r="DY38" s="213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151539.4237</v>
      </c>
      <c r="DZ38" s="213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151539.4237</v>
      </c>
      <c r="EA38" s="213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151539.4237</v>
      </c>
      <c r="EB38" s="213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151539.4237</v>
      </c>
      <c r="EC38" s="213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151539.4237</v>
      </c>
      <c r="ED38" s="213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151539.4237</v>
      </c>
      <c r="EE38" s="213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151539.4237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1" t="str">
        <f>'75 e. Armory'!C40</f>
        <v>Capital Expenditure</v>
      </c>
      <c r="D40" s="132">
        <f>IF(OR(D$1=Assumptions!$B$115,D$1=Assumptions!$C$115,D$1=Assumptions!$D$115,D$1=Assumptions!$E$115,D$1=Assumptions!$F$115),Assumptions!$AB$12*Assumptions!$C$102/Assumptions!$C$104,0)</f>
        <v>0</v>
      </c>
      <c r="E40" s="132">
        <f>IF(OR(E$1=Assumptions!$B$115,E$1=Assumptions!$C$115,E$1=Assumptions!$D$115,E$1=Assumptions!$E$115,E$1=Assumptions!$F$115),Assumptions!$AB$12*Assumptions!$C$102/Assumptions!$C$104,0)</f>
        <v>0</v>
      </c>
      <c r="F40" s="132">
        <f>IF(OR(F$1=Assumptions!$B$115,F$1=Assumptions!$C$115,F$1=Assumptions!$D$115,F$1=Assumptions!$E$115,F$1=Assumptions!$F$115),Assumptions!$AB$12*Assumptions!$C$102/Assumptions!$C$104,0)</f>
        <v>0</v>
      </c>
      <c r="G40" s="132">
        <f>IF(OR(G$1=Assumptions!$B$115,G$1=Assumptions!$C$115,G$1=Assumptions!$D$115,G$1=Assumptions!$E$115,G$1=Assumptions!$F$115),Assumptions!$AB$12*Assumptions!$C$102/Assumptions!$C$104,0)</f>
        <v>0</v>
      </c>
      <c r="H40" s="132">
        <f>IF(OR(H$1=Assumptions!$B$115,H$1=Assumptions!$C$115,H$1=Assumptions!$D$115,H$1=Assumptions!$E$115,H$1=Assumptions!$F$115),Assumptions!$AB$12*Assumptions!$C$102/Assumptions!$C$104,0)</f>
        <v>0</v>
      </c>
      <c r="I40" s="132">
        <f>IF(OR(I$1=Assumptions!$B$115,I$1=Assumptions!$C$115,I$1=Assumptions!$D$115,I$1=Assumptions!$E$115,I$1=Assumptions!$F$115),Assumptions!$AB$12*Assumptions!$C$102/Assumptions!$C$104,0)</f>
        <v>0</v>
      </c>
      <c r="J40" s="132">
        <f>IF(OR(J$1=Assumptions!$B$115,J$1=Assumptions!$C$115,J$1=Assumptions!$D$115,J$1=Assumptions!$E$115,J$1=Assumptions!$F$115),Assumptions!$AB$12*Assumptions!$C$102/Assumptions!$C$104,0)</f>
        <v>0</v>
      </c>
      <c r="K40" s="132">
        <f>IF(OR(K$1=Assumptions!$B$115,K$1=Assumptions!$C$115,K$1=Assumptions!$D$115,K$1=Assumptions!$E$115,K$1=Assumptions!$F$115),Assumptions!$AB$12*Assumptions!$C$102/Assumptions!$C$104,0)</f>
        <v>0</v>
      </c>
      <c r="L40" s="132">
        <f>IF(OR(L$1=Assumptions!$B$115,L$1=Assumptions!$C$115,L$1=Assumptions!$D$115,L$1=Assumptions!$E$115,L$1=Assumptions!$F$115),Assumptions!$AB$12*Assumptions!$C$102/Assumptions!$C$104,0)</f>
        <v>0</v>
      </c>
      <c r="M40" s="132">
        <f>IF(OR(M$1=Assumptions!$B$115,M$1=Assumptions!$C$115,M$1=Assumptions!$D$115,M$1=Assumptions!$E$115,M$1=Assumptions!$F$115),Assumptions!$AB$12*Assumptions!$C$102/Assumptions!$C$104,0)</f>
        <v>0</v>
      </c>
      <c r="N40" s="132">
        <f>IF(OR(N$1=Assumptions!$B$115,N$1=Assumptions!$C$115,N$1=Assumptions!$D$115,N$1=Assumptions!$E$115,N$1=Assumptions!$F$115),Assumptions!$AB$12*Assumptions!$C$102/Assumptions!$C$104,0)</f>
        <v>0</v>
      </c>
      <c r="O40" s="132">
        <f>IF(OR(O$1=Assumptions!$B$115,O$1=Assumptions!$C$115,O$1=Assumptions!$D$115,O$1=Assumptions!$E$115,O$1=Assumptions!$F$115),Assumptions!$AB$12*Assumptions!$C$102/Assumptions!$C$104,0)</f>
        <v>0</v>
      </c>
      <c r="P40" s="132">
        <f>IF(OR(P$1=Assumptions!$B$115,P$1=Assumptions!$C$115,P$1=Assumptions!$D$115,P$1=Assumptions!$E$115,P$1=Assumptions!$F$115),Assumptions!$AB$12*Assumptions!$C$102/Assumptions!$C$104,0)</f>
        <v>0</v>
      </c>
      <c r="Q40" s="132">
        <f>IF(OR(Q$1=Assumptions!$B$115,Q$1=Assumptions!$C$115,Q$1=Assumptions!$D$115,Q$1=Assumptions!$E$115,Q$1=Assumptions!$F$115),Assumptions!$AB$12*Assumptions!$C$102/Assumptions!$C$104,0)</f>
        <v>0</v>
      </c>
      <c r="R40" s="132">
        <f>IF(OR(R$1=Assumptions!$B$115,R$1=Assumptions!$C$115,R$1=Assumptions!$D$115,R$1=Assumptions!$E$115,R$1=Assumptions!$F$115),Assumptions!$AB$12*Assumptions!$C$102/Assumptions!$C$104,0)</f>
        <v>0</v>
      </c>
      <c r="S40" s="132">
        <f>IF(OR(S$1=Assumptions!$B$115,S$1=Assumptions!$C$115,S$1=Assumptions!$D$115,S$1=Assumptions!$E$115,S$1=Assumptions!$F$115),Assumptions!$AB$12*Assumptions!$C$102/Assumptions!$C$104,0)</f>
        <v>0</v>
      </c>
      <c r="T40" s="132">
        <f>IF(OR(T$1=Assumptions!$B$115,T$1=Assumptions!$C$115,T$1=Assumptions!$D$115,T$1=Assumptions!$E$115,T$1=Assumptions!$F$115),Assumptions!$AB$12*Assumptions!$C$102/Assumptions!$C$104,0)</f>
        <v>0</v>
      </c>
      <c r="U40" s="132">
        <f>IF(OR(U$1=Assumptions!$B$115,U$1=Assumptions!$C$115,U$1=Assumptions!$D$115,U$1=Assumptions!$E$115,U$1=Assumptions!$F$115),Assumptions!$AB$12*Assumptions!$C$102/Assumptions!$C$104,0)</f>
        <v>0</v>
      </c>
      <c r="V40" s="132">
        <f>IF(OR(V$1=Assumptions!$B$115,V$1=Assumptions!$C$115,V$1=Assumptions!$D$115,V$1=Assumptions!$E$115,V$1=Assumptions!$F$115),Assumptions!$AB$12*Assumptions!$C$102/Assumptions!$C$104,0)</f>
        <v>0</v>
      </c>
      <c r="W40" s="132">
        <f>IF(OR(W$1=Assumptions!$B$115,W$1=Assumptions!$C$115,W$1=Assumptions!$D$115,W$1=Assumptions!$E$115,W$1=Assumptions!$F$115),Assumptions!$AB$12*Assumptions!$C$102/Assumptions!$C$104,0)</f>
        <v>0</v>
      </c>
      <c r="X40" s="132">
        <f>IF(OR(X$1=Assumptions!$B$115,X$1=Assumptions!$C$115,X$1=Assumptions!$D$115,X$1=Assumptions!$E$115,X$1=Assumptions!$F$115),Assumptions!$AB$12*Assumptions!$C$102/Assumptions!$C$104,0)</f>
        <v>0</v>
      </c>
      <c r="Y40" s="132">
        <f>IF(OR(Y$1=Assumptions!$B$115,Y$1=Assumptions!$C$115,Y$1=Assumptions!$D$115,Y$1=Assumptions!$E$115,Y$1=Assumptions!$F$115),Assumptions!$AB$12*Assumptions!$C$102/Assumptions!$C$104,0)</f>
        <v>0</v>
      </c>
      <c r="Z40" s="132">
        <f>IF(OR(Z$1=Assumptions!$B$115,Z$1=Assumptions!$C$115,Z$1=Assumptions!$D$115,Z$1=Assumptions!$E$115,Z$1=Assumptions!$F$115),Assumptions!$AB$12*Assumptions!$C$102/Assumptions!$C$104,0)</f>
        <v>0</v>
      </c>
      <c r="AA40" s="132">
        <f>IF(OR(AA$1=Assumptions!$B$115,AA$1=Assumptions!$C$115,AA$1=Assumptions!$D$115,AA$1=Assumptions!$E$115,AA$1=Assumptions!$F$115),Assumptions!$AB$12*Assumptions!$C$102/Assumptions!$C$104,0)</f>
        <v>0</v>
      </c>
      <c r="AB40" s="132">
        <f>IF(OR(AB$1=Assumptions!$B$115,AB$1=Assumptions!$C$115,AB$1=Assumptions!$D$115,AB$1=Assumptions!$E$115,AB$1=Assumptions!$F$115),Assumptions!$AB$12*Assumptions!$C$102/Assumptions!$C$104,0)</f>
        <v>0</v>
      </c>
      <c r="AC40" s="132">
        <f>IF(OR(AC$1=Assumptions!$B$115,AC$1=Assumptions!$C$115,AC$1=Assumptions!$D$115,AC$1=Assumptions!$E$115,AC$1=Assumptions!$F$115),Assumptions!$AB$12*Assumptions!$C$102/Assumptions!$C$104,0)</f>
        <v>0</v>
      </c>
      <c r="AD40" s="132">
        <f>IF(OR(AD$1=Assumptions!$B$115,AD$1=Assumptions!$C$115,AD$1=Assumptions!$D$115,AD$1=Assumptions!$E$115,AD$1=Assumptions!$F$115),Assumptions!$AB$12*Assumptions!$C$102/Assumptions!$C$104,0)</f>
        <v>0</v>
      </c>
      <c r="AE40" s="132">
        <f>IF(OR(AE$1=Assumptions!$B$115,AE$1=Assumptions!$C$115,AE$1=Assumptions!$D$115,AE$1=Assumptions!$E$115,AE$1=Assumptions!$F$115),Assumptions!$AB$12*Assumptions!$C$102/Assumptions!$C$104,0)</f>
        <v>0</v>
      </c>
      <c r="AF40" s="132">
        <f>IF(OR(AF$1=Assumptions!$B$115,AF$1=Assumptions!$C$115,AF$1=Assumptions!$D$115,AF$1=Assumptions!$E$115,AF$1=Assumptions!$F$115),Assumptions!$AB$12*Assumptions!$C$102/Assumptions!$C$104,0)</f>
        <v>0</v>
      </c>
      <c r="AG40" s="132">
        <f>IF(OR(AG$1=Assumptions!$B$115,AG$1=Assumptions!$C$115,AG$1=Assumptions!$D$115,AG$1=Assumptions!$E$115,AG$1=Assumptions!$F$115),Assumptions!$AB$12*Assumptions!$C$102/Assumptions!$C$104,0)</f>
        <v>0</v>
      </c>
      <c r="AH40" s="132">
        <f>IF(OR(AH$1=Assumptions!$B$115,AH$1=Assumptions!$C$115,AH$1=Assumptions!$D$115,AH$1=Assumptions!$E$115,AH$1=Assumptions!$F$115),Assumptions!$AB$12*Assumptions!$C$102/Assumptions!$C$104,0)</f>
        <v>0</v>
      </c>
      <c r="AI40" s="132">
        <f>IF(OR(AI$1=Assumptions!$B$115,AI$1=Assumptions!$C$115,AI$1=Assumptions!$D$115,AI$1=Assumptions!$E$115,AI$1=Assumptions!$F$115),Assumptions!$AB$12*Assumptions!$C$102/Assumptions!$C$104,0)</f>
        <v>0</v>
      </c>
      <c r="AJ40" s="132">
        <f>IF(OR(AJ$1=Assumptions!$B$115,AJ$1=Assumptions!$C$115,AJ$1=Assumptions!$D$115,AJ$1=Assumptions!$E$115,AJ$1=Assumptions!$F$115),Assumptions!$AB$12*Assumptions!$C$102/Assumptions!$C$104,0)</f>
        <v>0</v>
      </c>
      <c r="AK40" s="132">
        <f>IF(OR(AK$1=Assumptions!$B$115,AK$1=Assumptions!$C$115,AK$1=Assumptions!$D$115,AK$1=Assumptions!$E$115,AK$1=Assumptions!$F$115),Assumptions!$AB$12*Assumptions!$C$102/Assumptions!$C$104,0)</f>
        <v>0</v>
      </c>
      <c r="AL40" s="132">
        <f>IF(OR(AL$1=Assumptions!$B$115,AL$1=Assumptions!$C$115,AL$1=Assumptions!$D$115,AL$1=Assumptions!$E$115,AL$1=Assumptions!$F$115),Assumptions!$AB$12*Assumptions!$C$102/Assumptions!$C$104,0)</f>
        <v>0</v>
      </c>
      <c r="AM40" s="132">
        <f>IF(OR(AM$1=Assumptions!$B$115,AM$1=Assumptions!$C$115,AM$1=Assumptions!$D$115,AM$1=Assumptions!$E$115,AM$1=Assumptions!$F$115),Assumptions!$AB$12*Assumptions!$C$102/Assumptions!$C$104,0)</f>
        <v>0</v>
      </c>
      <c r="AN40" s="132">
        <f>IF(OR(AN$1=Assumptions!$B$115,AN$1=Assumptions!$C$115,AN$1=Assumptions!$D$115,AN$1=Assumptions!$E$115,AN$1=Assumptions!$F$115),Assumptions!$AB$12*Assumptions!$C$102/Assumptions!$C$104,0)</f>
        <v>0</v>
      </c>
      <c r="AO40" s="132">
        <f>IF(OR(AO$1=Assumptions!$B$115,AO$1=Assumptions!$C$115,AO$1=Assumptions!$D$115,AO$1=Assumptions!$E$115,AO$1=Assumptions!$F$115),Assumptions!$AB$12*Assumptions!$C$102/Assumptions!$C$104,0)</f>
        <v>0</v>
      </c>
      <c r="AP40" s="132">
        <f>IF(OR(AP$1=Assumptions!$B$115,AP$1=Assumptions!$C$115,AP$1=Assumptions!$D$115,AP$1=Assumptions!$E$115,AP$1=Assumptions!$F$115),Assumptions!$AB$12*Assumptions!$C$102/Assumptions!$C$104,0)</f>
        <v>0</v>
      </c>
      <c r="AQ40" s="132">
        <f>IF(OR(AQ$1=Assumptions!$B$115,AQ$1=Assumptions!$C$115,AQ$1=Assumptions!$D$115,AQ$1=Assumptions!$E$115,AQ$1=Assumptions!$F$115),Assumptions!$AB$12*Assumptions!$C$102/Assumptions!$C$104,0)</f>
        <v>0</v>
      </c>
      <c r="AR40" s="132">
        <f>IF(OR(AR$1=Assumptions!$B$115,AR$1=Assumptions!$C$115,AR$1=Assumptions!$D$115,AR$1=Assumptions!$E$115,AR$1=Assumptions!$F$115),Assumptions!$AB$12*Assumptions!$C$102/Assumptions!$C$104,0)</f>
        <v>0</v>
      </c>
      <c r="AS40" s="132">
        <f>IF(OR(AS$1=Assumptions!$B$115,AS$1=Assumptions!$C$115,AS$1=Assumptions!$D$115,AS$1=Assumptions!$E$115,AS$1=Assumptions!$F$115),Assumptions!$AB$12*Assumptions!$C$102/Assumptions!$C$104,0)</f>
        <v>0</v>
      </c>
      <c r="AT40" s="132">
        <f>IF(OR(AT$1=Assumptions!$B$115,AT$1=Assumptions!$C$115,AT$1=Assumptions!$D$115,AT$1=Assumptions!$E$115,AT$1=Assumptions!$F$115),Assumptions!$AB$12*Assumptions!$C$102/Assumptions!$C$104,0)</f>
        <v>0</v>
      </c>
      <c r="AU40" s="132">
        <f>IF(OR(AU$1=Assumptions!$B$115,AU$1=Assumptions!$C$115,AU$1=Assumptions!$D$115,AU$1=Assumptions!$E$115,AU$1=Assumptions!$F$115),Assumptions!$AB$12*Assumptions!$C$102/Assumptions!$C$104,0)</f>
        <v>0</v>
      </c>
      <c r="AV40" s="132">
        <f>IF(OR(AV$1=Assumptions!$B$115,AV$1=Assumptions!$C$115,AV$1=Assumptions!$D$115,AV$1=Assumptions!$E$115,AV$1=Assumptions!$F$115),Assumptions!$AB$12*Assumptions!$C$102/Assumptions!$C$104,0)</f>
        <v>0</v>
      </c>
      <c r="AW40" s="132">
        <f>IF(OR(AW$1=Assumptions!$B$115,AW$1=Assumptions!$C$115,AW$1=Assumptions!$D$115,AW$1=Assumptions!$E$115,AW$1=Assumptions!$F$115),Assumptions!$AB$12*Assumptions!$C$102/Assumptions!$C$104,0)</f>
        <v>0</v>
      </c>
      <c r="AX40" s="132">
        <f>IF(OR(AX$1=Assumptions!$B$115,AX$1=Assumptions!$C$115,AX$1=Assumptions!$D$115,AX$1=Assumptions!$E$115,AX$1=Assumptions!$F$115),Assumptions!$AB$12*Assumptions!$C$102/Assumptions!$C$104,0)</f>
        <v>0</v>
      </c>
      <c r="AY40" s="132">
        <f>IF(OR(AY$1=Assumptions!$B$115,AY$1=Assumptions!$C$115,AY$1=Assumptions!$D$115,AY$1=Assumptions!$E$115,AY$1=Assumptions!$F$115),Assumptions!$AB$12*Assumptions!$C$102/Assumptions!$C$104,0)</f>
        <v>0</v>
      </c>
      <c r="AZ40" s="132">
        <f>IF(OR(AZ$1=Assumptions!$B$115,AZ$1=Assumptions!$C$115,AZ$1=Assumptions!$D$115,AZ$1=Assumptions!$E$115,AZ$1=Assumptions!$F$115),Assumptions!$AB$12*Assumptions!$C$102/Assumptions!$C$104,0)</f>
        <v>0</v>
      </c>
      <c r="BA40" s="132">
        <f>IF(OR(BA$1=Assumptions!$B$115,BA$1=Assumptions!$C$115,BA$1=Assumptions!$D$115,BA$1=Assumptions!$E$115,BA$1=Assumptions!$F$115),Assumptions!$AB$12*Assumptions!$C$102/Assumptions!$C$104,0)</f>
        <v>0</v>
      </c>
      <c r="BB40" s="132">
        <f>IF(OR(BB$1=Assumptions!$B$115,BB$1=Assumptions!$C$115,BB$1=Assumptions!$D$115,BB$1=Assumptions!$E$115,BB$1=Assumptions!$F$115),Assumptions!$AB$12*Assumptions!$C$102/Assumptions!$C$104,0)</f>
        <v>0</v>
      </c>
      <c r="BC40" s="132">
        <f>IF(OR(BC$1=Assumptions!$B$115,BC$1=Assumptions!$C$115,BC$1=Assumptions!$D$115,BC$1=Assumptions!$E$115,BC$1=Assumptions!$F$115),Assumptions!$AB$12*Assumptions!$C$102/Assumptions!$C$104,0)</f>
        <v>0</v>
      </c>
      <c r="BD40" s="132">
        <f>IF(OR(BD$1=Assumptions!$B$115,BD$1=Assumptions!$C$115,BD$1=Assumptions!$D$115,BD$1=Assumptions!$E$115,BD$1=Assumptions!$F$115),Assumptions!$AB$12*Assumptions!$C$102/Assumptions!$C$104,0)</f>
        <v>0</v>
      </c>
      <c r="BE40" s="132">
        <f>IF(OR(BE$1=Assumptions!$B$115,BE$1=Assumptions!$C$115,BE$1=Assumptions!$D$115,BE$1=Assumptions!$E$115,BE$1=Assumptions!$F$115),Assumptions!$AB$12*Assumptions!$C$102/Assumptions!$C$104,0)</f>
        <v>0</v>
      </c>
      <c r="BF40" s="132">
        <f>IF(OR(BF$1=Assumptions!$B$115,BF$1=Assumptions!$C$115,BF$1=Assumptions!$D$115,BF$1=Assumptions!$E$115,BF$1=Assumptions!$F$115),Assumptions!$AB$12*Assumptions!$C$102/Assumptions!$C$104,0)</f>
        <v>0</v>
      </c>
      <c r="BG40" s="132">
        <f>IF(OR(BG$1=Assumptions!$B$115,BG$1=Assumptions!$C$115,BG$1=Assumptions!$D$115,BG$1=Assumptions!$E$115,BG$1=Assumptions!$F$115),Assumptions!$AB$12*Assumptions!$C$102/Assumptions!$C$104,0)</f>
        <v>0</v>
      </c>
      <c r="BH40" s="132">
        <f>IF(OR(BH$1=Assumptions!$B$115,BH$1=Assumptions!$C$115,BH$1=Assumptions!$D$115,BH$1=Assumptions!$E$115,BH$1=Assumptions!$F$115),Assumptions!$AB$12*Assumptions!$C$102/Assumptions!$C$104,0)</f>
        <v>0</v>
      </c>
      <c r="BI40" s="132">
        <f>IF(OR(BI$1=Assumptions!$B$115,BI$1=Assumptions!$C$115,BI$1=Assumptions!$D$115,BI$1=Assumptions!$E$115,BI$1=Assumptions!$F$115),Assumptions!$AB$12*Assumptions!$C$102/Assumptions!$C$104,0)</f>
        <v>0</v>
      </c>
      <c r="BJ40" s="132">
        <f>IF(OR(BJ$1=Assumptions!$B$115,BJ$1=Assumptions!$C$115,BJ$1=Assumptions!$D$115,BJ$1=Assumptions!$E$115,BJ$1=Assumptions!$F$115),Assumptions!$AB$12*Assumptions!$C$102/Assumptions!$C$104,0)</f>
        <v>0</v>
      </c>
      <c r="BK40" s="132">
        <f>IF(OR(BK$1=Assumptions!$B$115,BK$1=Assumptions!$C$115,BK$1=Assumptions!$D$115,BK$1=Assumptions!$E$115,BK$1=Assumptions!$F$115),Assumptions!$AB$12*Assumptions!$C$102/Assumptions!$C$104,0)</f>
        <v>0</v>
      </c>
      <c r="BL40" s="132">
        <f>IF(OR(BL$1=Assumptions!$B$115,BL$1=Assumptions!$C$115,BL$1=Assumptions!$D$115,BL$1=Assumptions!$E$115,BL$1=Assumptions!$F$115),Assumptions!$AB$12*Assumptions!$C$102/Assumptions!$C$104,0)</f>
        <v>0</v>
      </c>
      <c r="BM40" s="132">
        <f>IF(OR(BM$1=Assumptions!$B$115,BM$1=Assumptions!$C$115,BM$1=Assumptions!$D$115,BM$1=Assumptions!$E$115,BM$1=Assumptions!$F$115),Assumptions!$AB$12*Assumptions!$C$102/Assumptions!$C$104,0)</f>
        <v>0</v>
      </c>
      <c r="BN40" s="132">
        <f>IF(OR(BN$1=Assumptions!$B$115,BN$1=Assumptions!$C$115,BN$1=Assumptions!$D$115,BN$1=Assumptions!$E$115,BN$1=Assumptions!$F$115),Assumptions!$AB$12*Assumptions!$C$102/Assumptions!$C$104,0)</f>
        <v>0</v>
      </c>
      <c r="BO40" s="132">
        <f>IF(OR(BO$1=Assumptions!$B$115,BO$1=Assumptions!$C$115,BO$1=Assumptions!$D$115,BO$1=Assumptions!$E$115,BO$1=Assumptions!$F$115),Assumptions!$AB$12*Assumptions!$C$102/Assumptions!$C$104,0)</f>
        <v>0</v>
      </c>
      <c r="BP40" s="132">
        <f>IF(OR(BP$1=Assumptions!$B$115,BP$1=Assumptions!$C$115,BP$1=Assumptions!$D$115,BP$1=Assumptions!$E$115,BP$1=Assumptions!$F$115),Assumptions!$AB$12*Assumptions!$C$102/Assumptions!$C$104,0)</f>
        <v>0</v>
      </c>
      <c r="BQ40" s="132">
        <f>IF(OR(BQ$1=Assumptions!$B$115,BQ$1=Assumptions!$C$115,BQ$1=Assumptions!$D$115,BQ$1=Assumptions!$E$115,BQ$1=Assumptions!$F$115),Assumptions!$AB$12*Assumptions!$C$102/Assumptions!$C$104,0)</f>
        <v>0</v>
      </c>
      <c r="BR40" s="132">
        <f>IF(OR(BR$1=Assumptions!$B$115,BR$1=Assumptions!$C$115,BR$1=Assumptions!$D$115,BR$1=Assumptions!$E$115,BR$1=Assumptions!$F$115),Assumptions!$AB$12*Assumptions!$C$102/Assumptions!$C$104,0)</f>
        <v>0</v>
      </c>
      <c r="BS40" s="132">
        <f>IF(OR(BS$1=Assumptions!$B$115,BS$1=Assumptions!$C$115,BS$1=Assumptions!$D$115,BS$1=Assumptions!$E$115,BS$1=Assumptions!$F$115),Assumptions!$AB$12*Assumptions!$C$102/Assumptions!$C$104,0)</f>
        <v>0</v>
      </c>
      <c r="BT40" s="132">
        <f>IF(OR(BT$1=Assumptions!$B$115,BT$1=Assumptions!$C$115,BT$1=Assumptions!$D$115,BT$1=Assumptions!$E$115,BT$1=Assumptions!$F$115),Assumptions!$AB$12*Assumptions!$C$102/Assumptions!$C$104,0)</f>
        <v>0</v>
      </c>
      <c r="BU40" s="132">
        <f>IF(OR(BU$1=Assumptions!$B$115,BU$1=Assumptions!$C$115,BU$1=Assumptions!$D$115,BU$1=Assumptions!$E$115,BU$1=Assumptions!$F$115),Assumptions!$AB$12*Assumptions!$C$102/Assumptions!$C$104,0)</f>
        <v>0</v>
      </c>
      <c r="BV40" s="132">
        <f>IF(OR(BV$1=Assumptions!$B$115,BV$1=Assumptions!$C$115,BV$1=Assumptions!$D$115,BV$1=Assumptions!$E$115,BV$1=Assumptions!$F$115),Assumptions!$AB$12*Assumptions!$C$102/Assumptions!$C$104,0)</f>
        <v>0</v>
      </c>
      <c r="BW40" s="132">
        <f>IF(OR(BW$1=Assumptions!$B$115,BW$1=Assumptions!$C$115,BW$1=Assumptions!$D$115,BW$1=Assumptions!$E$115,BW$1=Assumptions!$F$115),Assumptions!$AB$12*Assumptions!$C$102/Assumptions!$C$104,0)</f>
        <v>0</v>
      </c>
      <c r="BX40" s="132">
        <f>IF(OR(BX$1=Assumptions!$B$115,BX$1=Assumptions!$C$115,BX$1=Assumptions!$D$115,BX$1=Assumptions!$E$115,BX$1=Assumptions!$F$115),Assumptions!$AB$12*Assumptions!$C$102/Assumptions!$C$104,0)</f>
        <v>0</v>
      </c>
      <c r="BY40" s="132">
        <f>IF(OR(BY$1=Assumptions!$B$115,BY$1=Assumptions!$C$115,BY$1=Assumptions!$D$115,BY$1=Assumptions!$E$115,BY$1=Assumptions!$F$115),Assumptions!$AB$12*Assumptions!$C$102/Assumptions!$C$104,0)</f>
        <v>0</v>
      </c>
      <c r="BZ40" s="132">
        <f>IF(OR(BZ$1=Assumptions!$B$115,BZ$1=Assumptions!$C$115,BZ$1=Assumptions!$D$115,BZ$1=Assumptions!$E$115,BZ$1=Assumptions!$F$115),Assumptions!$AB$12*Assumptions!$C$102/Assumptions!$C$104,0)</f>
        <v>0</v>
      </c>
      <c r="CA40" s="132">
        <f>IF(OR(CA$1=Assumptions!$B$115,CA$1=Assumptions!$C$115,CA$1=Assumptions!$D$115,CA$1=Assumptions!$E$115,CA$1=Assumptions!$F$115),Assumptions!$AB$12*Assumptions!$C$102/Assumptions!$C$104,0)</f>
        <v>0</v>
      </c>
      <c r="CB40" s="132">
        <f>IF(OR(CB$1=Assumptions!$B$115,CB$1=Assumptions!$C$115,CB$1=Assumptions!$D$115,CB$1=Assumptions!$E$115,CB$1=Assumptions!$F$115),Assumptions!$AB$12*Assumptions!$C$102/Assumptions!$C$104,0)</f>
        <v>0</v>
      </c>
      <c r="CC40" s="132">
        <f>IF(OR(CC$1=Assumptions!$B$115,CC$1=Assumptions!$C$115,CC$1=Assumptions!$D$115,CC$1=Assumptions!$E$115,CC$1=Assumptions!$F$115),Assumptions!$AB$12*Assumptions!$C$102/Assumptions!$C$104,0)</f>
        <v>0</v>
      </c>
      <c r="CD40" s="132">
        <f>IF(OR(CD$1=Assumptions!$B$115,CD$1=Assumptions!$C$115,CD$1=Assumptions!$D$115,CD$1=Assumptions!$E$115,CD$1=Assumptions!$F$115),Assumptions!$AB$12*Assumptions!$C$102/Assumptions!$C$104,0)</f>
        <v>0</v>
      </c>
      <c r="CE40" s="132">
        <f>IF(OR(CE$1=Assumptions!$B$115,CE$1=Assumptions!$C$115,CE$1=Assumptions!$D$115,CE$1=Assumptions!$E$115,CE$1=Assumptions!$F$115),Assumptions!$AB$12*Assumptions!$C$102/Assumptions!$C$104,0)</f>
        <v>0</v>
      </c>
      <c r="CF40" s="132">
        <f>IF(OR(CF$1=Assumptions!$B$115,CF$1=Assumptions!$C$115,CF$1=Assumptions!$D$115,CF$1=Assumptions!$E$115,CF$1=Assumptions!$F$115),Assumptions!$AB$12*Assumptions!$C$102/Assumptions!$C$104,0)</f>
        <v>0</v>
      </c>
      <c r="CG40" s="132">
        <f>IF(OR(CG$1=Assumptions!$B$115,CG$1=Assumptions!$C$115,CG$1=Assumptions!$D$115,CG$1=Assumptions!$E$115,CG$1=Assumptions!$F$115),Assumptions!$AB$12*Assumptions!$C$102/Assumptions!$C$104,0)</f>
        <v>0</v>
      </c>
      <c r="CH40" s="132">
        <f>IF(OR(CH$1=Assumptions!$B$115,CH$1=Assumptions!$C$115,CH$1=Assumptions!$D$115,CH$1=Assumptions!$E$115,CH$1=Assumptions!$F$115),Assumptions!$AB$12*Assumptions!$C$102/Assumptions!$C$104,0)</f>
        <v>0</v>
      </c>
      <c r="CI40" s="132">
        <f>IF(OR(CI$1=Assumptions!$B$115,CI$1=Assumptions!$C$115,CI$1=Assumptions!$D$115,CI$1=Assumptions!$E$115,CI$1=Assumptions!$F$115),Assumptions!$AB$12*Assumptions!$C$102/Assumptions!$C$104,0)</f>
        <v>0</v>
      </c>
      <c r="CJ40" s="132">
        <f>IF(OR(CJ$1=Assumptions!$B$115,CJ$1=Assumptions!$C$115,CJ$1=Assumptions!$D$115,CJ$1=Assumptions!$E$115,CJ$1=Assumptions!$F$115),Assumptions!$AB$12*Assumptions!$C$102/Assumptions!$C$104,0)</f>
        <v>0</v>
      </c>
      <c r="CK40" s="132">
        <f>IF(OR(CK$1=Assumptions!$B$115,CK$1=Assumptions!$C$115,CK$1=Assumptions!$D$115,CK$1=Assumptions!$E$115,CK$1=Assumptions!$F$115),Assumptions!$AB$12*Assumptions!$C$102/Assumptions!$C$104,0)</f>
        <v>0</v>
      </c>
      <c r="CL40" s="132">
        <f>IF(OR(CL$1=Assumptions!$B$115,CL$1=Assumptions!$C$115,CL$1=Assumptions!$D$115,CL$1=Assumptions!$E$115,CL$1=Assumptions!$F$115),Assumptions!$AB$12*Assumptions!$C$102/Assumptions!$C$104,0)</f>
        <v>0</v>
      </c>
      <c r="CM40" s="132">
        <f>IF(OR(CM$1=Assumptions!$B$115,CM$1=Assumptions!$C$115,CM$1=Assumptions!$D$115,CM$1=Assumptions!$E$115,CM$1=Assumptions!$F$115),Assumptions!$AB$12*Assumptions!$C$102/Assumptions!$C$104,0)</f>
        <v>0</v>
      </c>
      <c r="CN40" s="132">
        <f>IF(OR(CN$1=Assumptions!$B$115,CN$1=Assumptions!$C$115,CN$1=Assumptions!$D$115,CN$1=Assumptions!$E$115,CN$1=Assumptions!$F$115),Assumptions!$AB$12*Assumptions!$C$102/Assumptions!$C$104,0)</f>
        <v>0</v>
      </c>
      <c r="CO40" s="132">
        <f>IF(OR(CO$1=Assumptions!$B$115,CO$1=Assumptions!$C$115,CO$1=Assumptions!$D$115,CO$1=Assumptions!$E$115,CO$1=Assumptions!$F$115),Assumptions!$AB$12*Assumptions!$C$102/Assumptions!$C$104,0)</f>
        <v>0</v>
      </c>
      <c r="CP40" s="132">
        <f>IF(OR(CP$1=Assumptions!$B$115,CP$1=Assumptions!$C$115,CP$1=Assumptions!$D$115,CP$1=Assumptions!$E$115,CP$1=Assumptions!$F$115),Assumptions!$AB$12*Assumptions!$C$102/Assumptions!$C$104,0)</f>
        <v>0</v>
      </c>
      <c r="CQ40" s="132">
        <f>IF(OR(CQ$1=Assumptions!$B$115,CQ$1=Assumptions!$C$115,CQ$1=Assumptions!$D$115,CQ$1=Assumptions!$E$115,CQ$1=Assumptions!$F$115),Assumptions!$AB$12*Assumptions!$C$102/Assumptions!$C$104,0)</f>
        <v>0</v>
      </c>
      <c r="CR40" s="132">
        <f>IF(OR(CR$1=Assumptions!$B$115,CR$1=Assumptions!$C$115,CR$1=Assumptions!$D$115,CR$1=Assumptions!$E$115,CR$1=Assumptions!$F$115),Assumptions!$AB$12*Assumptions!$C$102/Assumptions!$C$104,0)</f>
        <v>0</v>
      </c>
      <c r="CS40" s="132">
        <f>IF(OR(CS$1=Assumptions!$B$115,CS$1=Assumptions!$C$115,CS$1=Assumptions!$D$115,CS$1=Assumptions!$E$115,CS$1=Assumptions!$F$115),Assumptions!$AB$12*Assumptions!$C$102/Assumptions!$C$104,0)</f>
        <v>0</v>
      </c>
      <c r="CT40" s="132">
        <f>IF(OR(CT$1=Assumptions!$B$115,CT$1=Assumptions!$C$115,CT$1=Assumptions!$D$115,CT$1=Assumptions!$E$115,CT$1=Assumptions!$F$115),Assumptions!$AB$12*Assumptions!$C$102/Assumptions!$C$104,0)</f>
        <v>0</v>
      </c>
      <c r="CU40" s="132">
        <f>IF(OR(CU$1=Assumptions!$B$115,CU$1=Assumptions!$C$115,CU$1=Assumptions!$D$115,CU$1=Assumptions!$E$115,CU$1=Assumptions!$F$115),Assumptions!$AB$12*Assumptions!$C$102/Assumptions!$C$104,0)</f>
        <v>0</v>
      </c>
      <c r="CV40" s="132">
        <f>IF(OR(CV$1=Assumptions!$B$115,CV$1=Assumptions!$C$115,CV$1=Assumptions!$D$115,CV$1=Assumptions!$E$115,CV$1=Assumptions!$F$115),Assumptions!$AB$12*Assumptions!$C$102/Assumptions!$C$104,0)</f>
        <v>0</v>
      </c>
      <c r="CW40" s="132">
        <f>IF(OR(CW$1=Assumptions!$B$115,CW$1=Assumptions!$C$115,CW$1=Assumptions!$D$115,CW$1=Assumptions!$E$115,CW$1=Assumptions!$F$115),Assumptions!$AB$12*Assumptions!$C$102/Assumptions!$C$104,0)</f>
        <v>0</v>
      </c>
      <c r="CX40" s="132">
        <f>IF(OR(CX$1=Assumptions!$B$115,CX$1=Assumptions!$C$115,CX$1=Assumptions!$D$115,CX$1=Assumptions!$E$115,CX$1=Assumptions!$F$115),Assumptions!$AB$12*Assumptions!$C$102/Assumptions!$C$104,0)</f>
        <v>0</v>
      </c>
      <c r="CY40" s="132">
        <f>IF(OR(CY$1=Assumptions!$B$115,CY$1=Assumptions!$C$115,CY$1=Assumptions!$D$115,CY$1=Assumptions!$E$115,CY$1=Assumptions!$F$115),Assumptions!$AB$12*Assumptions!$C$102/Assumptions!$C$104,0)</f>
        <v>0</v>
      </c>
      <c r="CZ40" s="132">
        <f>IF(OR(CZ$1=Assumptions!$B$115,CZ$1=Assumptions!$C$115,CZ$1=Assumptions!$D$115,CZ$1=Assumptions!$E$115,CZ$1=Assumptions!$F$115),Assumptions!$AB$12*Assumptions!$C$102/Assumptions!$C$104,0)</f>
        <v>0</v>
      </c>
      <c r="DA40" s="132">
        <f>IF(OR(DA$1=Assumptions!$B$115,DA$1=Assumptions!$C$115,DA$1=Assumptions!$D$115,DA$1=Assumptions!$E$115,DA$1=Assumptions!$F$115),Assumptions!$AB$12*Assumptions!$C$102/Assumptions!$C$104,0)</f>
        <v>0</v>
      </c>
      <c r="DB40" s="132">
        <f>IF(OR(DB$1=Assumptions!$B$115,DB$1=Assumptions!$C$115,DB$1=Assumptions!$D$115,DB$1=Assumptions!$E$115,DB$1=Assumptions!$F$115),Assumptions!$AB$12*Assumptions!$C$102/Assumptions!$C$104,0)</f>
        <v>0</v>
      </c>
      <c r="DC40" s="132">
        <f>IF(OR(DC$1=Assumptions!$B$115,DC$1=Assumptions!$C$115,DC$1=Assumptions!$D$115,DC$1=Assumptions!$E$115,DC$1=Assumptions!$F$115),Assumptions!$AB$12*Assumptions!$C$102/Assumptions!$C$104,0)</f>
        <v>0</v>
      </c>
      <c r="DD40" s="132">
        <f>IF(OR(DD$1=Assumptions!$B$115,DD$1=Assumptions!$C$115,DD$1=Assumptions!$D$115,DD$1=Assumptions!$E$115,DD$1=Assumptions!$F$115),Assumptions!$AB$12*Assumptions!$C$102/Assumptions!$C$104,0)</f>
        <v>0</v>
      </c>
      <c r="DE40" s="132">
        <f>IF(OR(DE$1=Assumptions!$B$115,DE$1=Assumptions!$C$115,DE$1=Assumptions!$D$115,DE$1=Assumptions!$E$115,DE$1=Assumptions!$F$115),Assumptions!$AB$12*Assumptions!$C$102/Assumptions!$C$104,0)</f>
        <v>0</v>
      </c>
      <c r="DF40" s="132">
        <f>IF(OR(DF$1=Assumptions!$B$115,DF$1=Assumptions!$C$115,DF$1=Assumptions!$D$115,DF$1=Assumptions!$E$115,DF$1=Assumptions!$F$115),Assumptions!$AB$12*Assumptions!$C$102/Assumptions!$C$104,0)</f>
        <v>0</v>
      </c>
      <c r="DG40" s="132">
        <f>IF(OR(DG$1=Assumptions!$B$115,DG$1=Assumptions!$C$115,DG$1=Assumptions!$D$115,DG$1=Assumptions!$E$115,DG$1=Assumptions!$F$115),Assumptions!$AB$12*Assumptions!$C$102/Assumptions!$C$104,0)</f>
        <v>0</v>
      </c>
      <c r="DH40" s="132">
        <f>IF(OR(DH$1=Assumptions!$B$115,DH$1=Assumptions!$C$115,DH$1=Assumptions!$D$115,DH$1=Assumptions!$E$115,DH$1=Assumptions!$F$115),Assumptions!$AB$12*Assumptions!$C$102/Assumptions!$C$104,0)</f>
        <v>0</v>
      </c>
      <c r="DI40" s="132">
        <f>IF(OR(DI$1=Assumptions!$B$115,DI$1=Assumptions!$C$115,DI$1=Assumptions!$D$115,DI$1=Assumptions!$E$115,DI$1=Assumptions!$F$115),Assumptions!$AB$12*Assumptions!$C$102/Assumptions!$C$104,0)</f>
        <v>0</v>
      </c>
      <c r="DJ40" s="132">
        <f>IF(OR(DJ$1=Assumptions!$B$115,DJ$1=Assumptions!$C$115,DJ$1=Assumptions!$D$115,DJ$1=Assumptions!$E$115,DJ$1=Assumptions!$F$115),Assumptions!$AB$12*Assumptions!$C$102/Assumptions!$C$104,0)</f>
        <v>0</v>
      </c>
      <c r="DK40" s="132">
        <f>IF(OR(DK$1=Assumptions!$B$115,DK$1=Assumptions!$C$115,DK$1=Assumptions!$D$115,DK$1=Assumptions!$E$115,DK$1=Assumptions!$F$115),Assumptions!$AB$12*Assumptions!$C$102/Assumptions!$C$104,0)</f>
        <v>0</v>
      </c>
      <c r="DL40" s="132">
        <f>IF(OR(DL$1=Assumptions!$B$115,DL$1=Assumptions!$C$115,DL$1=Assumptions!$D$115,DL$1=Assumptions!$E$115,DL$1=Assumptions!$F$115),Assumptions!$AB$12*Assumptions!$C$102/Assumptions!$C$104,0)</f>
        <v>0</v>
      </c>
      <c r="DM40" s="132">
        <f>IF(OR(DM$1=Assumptions!$B$115,DM$1=Assumptions!$C$115,DM$1=Assumptions!$D$115,DM$1=Assumptions!$E$115,DM$1=Assumptions!$F$115),Assumptions!$AB$12*Assumptions!$C$102/Assumptions!$C$104,0)</f>
        <v>0</v>
      </c>
      <c r="DN40" s="132">
        <f>IF(OR(DN$1=Assumptions!$B$115,DN$1=Assumptions!$C$115,DN$1=Assumptions!$D$115,DN$1=Assumptions!$E$115,DN$1=Assumptions!$F$115),Assumptions!$AB$12*Assumptions!$C$102/Assumptions!$C$104,0)</f>
        <v>0</v>
      </c>
      <c r="DO40" s="132">
        <f>IF(OR(DO$1=Assumptions!$B$115,DO$1=Assumptions!$C$115,DO$1=Assumptions!$D$115,DO$1=Assumptions!$E$115,DO$1=Assumptions!$F$115),Assumptions!$AB$12*Assumptions!$C$102/Assumptions!$C$104,0)</f>
        <v>0</v>
      </c>
      <c r="DP40" s="132">
        <f>IF(OR(DP$1=Assumptions!$B$115,DP$1=Assumptions!$C$115,DP$1=Assumptions!$D$115,DP$1=Assumptions!$E$115,DP$1=Assumptions!$F$115),Assumptions!$AB$12*Assumptions!$C$102/Assumptions!$C$104,0)</f>
        <v>0</v>
      </c>
      <c r="DQ40" s="132">
        <f>IF(OR(DQ$1=Assumptions!$B$115,DQ$1=Assumptions!$C$115,DQ$1=Assumptions!$D$115,DQ$1=Assumptions!$E$115,DQ$1=Assumptions!$F$115),Assumptions!$AB$12*Assumptions!$C$102/Assumptions!$C$104,0)</f>
        <v>0</v>
      </c>
      <c r="DR40" s="132">
        <f>IF(OR(DR$1=Assumptions!$B$115,DR$1=Assumptions!$C$115,DR$1=Assumptions!$D$115,DR$1=Assumptions!$E$115,DR$1=Assumptions!$F$115),Assumptions!$AB$12*Assumptions!$C$102/Assumptions!$C$104,0)</f>
        <v>0</v>
      </c>
      <c r="DS40" s="132">
        <f>IF(OR(DS$1=Assumptions!$B$115,DS$1=Assumptions!$C$115,DS$1=Assumptions!$D$115,DS$1=Assumptions!$E$115,DS$1=Assumptions!$F$115),Assumptions!$AB$12*Assumptions!$C$102/Assumptions!$C$104,0)</f>
        <v>0</v>
      </c>
      <c r="DT40" s="132">
        <f>IF(OR(DT$1=Assumptions!$B$115,DT$1=Assumptions!$C$115,DT$1=Assumptions!$D$115,DT$1=Assumptions!$E$115,DT$1=Assumptions!$F$115),Assumptions!$AB$12*Assumptions!$C$102/Assumptions!$C$104,0)</f>
        <v>0</v>
      </c>
      <c r="DU40" s="132">
        <f>IF(OR(DU$1=Assumptions!$B$115,DU$1=Assumptions!$C$115,DU$1=Assumptions!$D$115,DU$1=Assumptions!$E$115,DU$1=Assumptions!$F$115),Assumptions!$AB$12*Assumptions!$C$102/Assumptions!$C$104,0)</f>
        <v>0</v>
      </c>
      <c r="DV40" s="132">
        <f>IF(OR(DV$1=Assumptions!$B$115,DV$1=Assumptions!$C$115,DV$1=Assumptions!$D$115,DV$1=Assumptions!$E$115,DV$1=Assumptions!$F$115),Assumptions!$AB$12*Assumptions!$C$102/Assumptions!$C$104,0)</f>
        <v>0</v>
      </c>
      <c r="DW40" s="132">
        <f>IF(OR(DW$1=Assumptions!$B$115,DW$1=Assumptions!$C$115,DW$1=Assumptions!$D$115,DW$1=Assumptions!$E$115,DW$1=Assumptions!$F$115),Assumptions!$AB$12*Assumptions!$C$102/Assumptions!$C$104,0)</f>
        <v>0</v>
      </c>
      <c r="DX40" s="132">
        <f>IF(OR(DX$1=Assumptions!$B$115,DX$1=Assumptions!$C$115,DX$1=Assumptions!$D$115,DX$1=Assumptions!$E$115,DX$1=Assumptions!$F$115),Assumptions!$AB$12*Assumptions!$C$102/Assumptions!$C$104,0)</f>
        <v>0</v>
      </c>
      <c r="DY40" s="132">
        <f>IF(OR(DY$1=Assumptions!$B$115,DY$1=Assumptions!$C$115,DY$1=Assumptions!$D$115,DY$1=Assumptions!$E$115,DY$1=Assumptions!$F$115),Assumptions!$AB$12*Assumptions!$C$102/Assumptions!$C$104,0)</f>
        <v>0</v>
      </c>
      <c r="DZ40" s="132">
        <f>IF(OR(DZ$1=Assumptions!$B$115,DZ$1=Assumptions!$C$115,DZ$1=Assumptions!$D$115,DZ$1=Assumptions!$E$115,DZ$1=Assumptions!$F$115),Assumptions!$AB$12*Assumptions!$C$102/Assumptions!$C$104,0)</f>
        <v>0</v>
      </c>
      <c r="EA40" s="132">
        <f>IF(OR(EA$1=Assumptions!$B$115,EA$1=Assumptions!$C$115,EA$1=Assumptions!$D$115,EA$1=Assumptions!$E$115,EA$1=Assumptions!$F$115),Assumptions!$AB$12*Assumptions!$C$102/Assumptions!$C$104,0)</f>
        <v>0</v>
      </c>
      <c r="EB40" s="132">
        <f>IF(OR(EB$1=Assumptions!$B$115,EB$1=Assumptions!$C$115,EB$1=Assumptions!$D$115,EB$1=Assumptions!$E$115,EB$1=Assumptions!$F$115),Assumptions!$AB$12*Assumptions!$C$102/Assumptions!$C$104,0)</f>
        <v>0</v>
      </c>
      <c r="EC40" s="132">
        <f>IF(OR(EC$1=Assumptions!$B$115,EC$1=Assumptions!$C$115,EC$1=Assumptions!$D$115,EC$1=Assumptions!$E$115,EC$1=Assumptions!$F$115),Assumptions!$AB$12*Assumptions!$C$102/Assumptions!$C$104,0)</f>
        <v>0</v>
      </c>
      <c r="ED40" s="132">
        <f>IF(OR(ED$1=Assumptions!$B$115,ED$1=Assumptions!$C$115,ED$1=Assumptions!$D$115,ED$1=Assumptions!$E$115,ED$1=Assumptions!$F$115),Assumptions!$AB$12*Assumptions!$C$102/Assumptions!$C$104,0)</f>
        <v>0</v>
      </c>
      <c r="EE40" s="132">
        <f>IF(OR(EE$1=Assumptions!$B$115,EE$1=Assumptions!$C$115,EE$1=Assumptions!$D$115,EE$1=Assumptions!$E$115,EE$1=Assumptions!$F$115),Assumptions!$AB$12*Assumptions!$C$102/Assumptions!$C$104,0)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9" t="s">
        <v>85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171</v>
      </c>
      <c r="D43" s="54">
        <f>Assumptions!AF42</f>
        <v>13051781.25</v>
      </c>
      <c r="E43" s="54">
        <f t="shared" ref="E43:EE43" si="7">D47</f>
        <v>13051781.25</v>
      </c>
      <c r="F43" s="54">
        <f t="shared" si="7"/>
        <v>13051781.25</v>
      </c>
      <c r="G43" s="54">
        <f t="shared" si="7"/>
        <v>13051781.25</v>
      </c>
      <c r="H43" s="54">
        <f t="shared" si="7"/>
        <v>13051781.25</v>
      </c>
      <c r="I43" s="54">
        <f t="shared" si="7"/>
        <v>13051781.25</v>
      </c>
      <c r="J43" s="54">
        <f t="shared" si="7"/>
        <v>13051781.25</v>
      </c>
      <c r="K43" s="54">
        <f t="shared" si="7"/>
        <v>13051781.25</v>
      </c>
      <c r="L43" s="54">
        <f t="shared" si="7"/>
        <v>13051781.25</v>
      </c>
      <c r="M43" s="54">
        <f t="shared" si="7"/>
        <v>13051781.25</v>
      </c>
      <c r="N43" s="54">
        <f t="shared" si="7"/>
        <v>13051781.25</v>
      </c>
      <c r="O43" s="54">
        <f t="shared" si="7"/>
        <v>13051781.25</v>
      </c>
      <c r="P43" s="54">
        <f t="shared" si="7"/>
        <v>13051781.25</v>
      </c>
      <c r="Q43" s="54">
        <f t="shared" si="7"/>
        <v>13051781.25</v>
      </c>
      <c r="R43" s="54">
        <f t="shared" si="7"/>
        <v>13051781.25</v>
      </c>
      <c r="S43" s="54">
        <f t="shared" si="7"/>
        <v>13051781.25</v>
      </c>
      <c r="T43" s="54">
        <f t="shared" si="7"/>
        <v>13051781.25</v>
      </c>
      <c r="U43" s="54">
        <f t="shared" si="7"/>
        <v>13051781.25</v>
      </c>
      <c r="V43" s="54">
        <f t="shared" si="7"/>
        <v>13051781.25</v>
      </c>
      <c r="W43" s="54">
        <f t="shared" si="7"/>
        <v>13051781.25</v>
      </c>
      <c r="X43" s="54">
        <f t="shared" si="7"/>
        <v>13051781.25</v>
      </c>
      <c r="Y43" s="54">
        <f t="shared" si="7"/>
        <v>13051781.25</v>
      </c>
      <c r="Z43" s="54">
        <f t="shared" si="7"/>
        <v>13051781.25</v>
      </c>
      <c r="AA43" s="54">
        <f t="shared" si="7"/>
        <v>13051781.25</v>
      </c>
      <c r="AB43" s="54">
        <f t="shared" si="7"/>
        <v>13051781.25</v>
      </c>
      <c r="AC43" s="54">
        <f t="shared" si="7"/>
        <v>13051781.25</v>
      </c>
      <c r="AD43" s="54">
        <f t="shared" si="7"/>
        <v>13051781.25</v>
      </c>
      <c r="AE43" s="54">
        <f t="shared" si="7"/>
        <v>13051781.25</v>
      </c>
      <c r="AF43" s="54">
        <f t="shared" si="7"/>
        <v>13051781.25</v>
      </c>
      <c r="AG43" s="54">
        <f t="shared" si="7"/>
        <v>13051781.25</v>
      </c>
      <c r="AH43" s="54">
        <f t="shared" si="7"/>
        <v>13051781.25</v>
      </c>
      <c r="AI43" s="54">
        <f t="shared" si="7"/>
        <v>13051781.25</v>
      </c>
      <c r="AJ43" s="54">
        <f t="shared" si="7"/>
        <v>13051781.25</v>
      </c>
      <c r="AK43" s="54">
        <f t="shared" si="7"/>
        <v>13051781.25</v>
      </c>
      <c r="AL43" s="54">
        <f t="shared" si="7"/>
        <v>13051781.25</v>
      </c>
      <c r="AM43" s="54">
        <f t="shared" si="7"/>
        <v>13051781.25</v>
      </c>
      <c r="AN43" s="54">
        <f t="shared" si="7"/>
        <v>13051781.25</v>
      </c>
      <c r="AO43" s="54">
        <f t="shared" si="7"/>
        <v>13037972.43</v>
      </c>
      <c r="AP43" s="54">
        <f t="shared" si="7"/>
        <v>13024098.24</v>
      </c>
      <c r="AQ43" s="54">
        <f t="shared" si="7"/>
        <v>13010158.39</v>
      </c>
      <c r="AR43" s="54">
        <f t="shared" si="7"/>
        <v>12996152.55</v>
      </c>
      <c r="AS43" s="54">
        <f t="shared" si="7"/>
        <v>12982080.42</v>
      </c>
      <c r="AT43" s="54">
        <f t="shared" si="7"/>
        <v>12967941.67</v>
      </c>
      <c r="AU43" s="54">
        <f t="shared" si="7"/>
        <v>12953736.01</v>
      </c>
      <c r="AV43" s="54">
        <f t="shared" si="7"/>
        <v>12939463.1</v>
      </c>
      <c r="AW43" s="54">
        <f t="shared" si="7"/>
        <v>12925122.64</v>
      </c>
      <c r="AX43" s="54">
        <f t="shared" si="7"/>
        <v>12910714.3</v>
      </c>
      <c r="AY43" s="54">
        <f t="shared" si="7"/>
        <v>12896237.76</v>
      </c>
      <c r="AZ43" s="54">
        <f t="shared" si="7"/>
        <v>12881692.7</v>
      </c>
      <c r="BA43" s="54">
        <f t="shared" si="7"/>
        <v>12867078.79</v>
      </c>
      <c r="BB43" s="54">
        <f t="shared" si="7"/>
        <v>12852395.7</v>
      </c>
      <c r="BC43" s="54">
        <f t="shared" si="7"/>
        <v>12837643.12</v>
      </c>
      <c r="BD43" s="54">
        <f t="shared" si="7"/>
        <v>12822820.71</v>
      </c>
      <c r="BE43" s="54">
        <f t="shared" si="7"/>
        <v>12807928.14</v>
      </c>
      <c r="BF43" s="54">
        <f t="shared" si="7"/>
        <v>12792965.08</v>
      </c>
      <c r="BG43" s="54">
        <f t="shared" si="7"/>
        <v>12777931.19</v>
      </c>
      <c r="BH43" s="54">
        <f t="shared" si="7"/>
        <v>12762826.14</v>
      </c>
      <c r="BI43" s="54">
        <f t="shared" si="7"/>
        <v>12747649.6</v>
      </c>
      <c r="BJ43" s="54">
        <f t="shared" si="7"/>
        <v>12732401.22</v>
      </c>
      <c r="BK43" s="54">
        <f t="shared" si="7"/>
        <v>12717080.66</v>
      </c>
      <c r="BL43" s="54">
        <f t="shared" si="7"/>
        <v>12701687.59</v>
      </c>
      <c r="BM43" s="54">
        <f t="shared" si="7"/>
        <v>12686221.65</v>
      </c>
      <c r="BN43" s="54">
        <f t="shared" si="7"/>
        <v>12670682.51</v>
      </c>
      <c r="BO43" s="54">
        <f t="shared" si="7"/>
        <v>12655069.82</v>
      </c>
      <c r="BP43" s="54">
        <f t="shared" si="7"/>
        <v>12639383.23</v>
      </c>
      <c r="BQ43" s="54">
        <f t="shared" si="7"/>
        <v>12623622.39</v>
      </c>
      <c r="BR43" s="54">
        <f t="shared" si="7"/>
        <v>12607786.95</v>
      </c>
      <c r="BS43" s="54">
        <f t="shared" si="7"/>
        <v>12591876.55</v>
      </c>
      <c r="BT43" s="54">
        <f t="shared" si="7"/>
        <v>12575890.84</v>
      </c>
      <c r="BU43" s="54">
        <f t="shared" si="7"/>
        <v>12559829.47</v>
      </c>
      <c r="BV43" s="54">
        <f t="shared" si="7"/>
        <v>12543692.08</v>
      </c>
      <c r="BW43" s="54">
        <f t="shared" si="7"/>
        <v>12527478.3</v>
      </c>
      <c r="BX43" s="54">
        <f t="shared" si="7"/>
        <v>12511187.77</v>
      </c>
      <c r="BY43" s="54">
        <f t="shared" si="7"/>
        <v>12494820.14</v>
      </c>
      <c r="BZ43" s="54">
        <f t="shared" si="7"/>
        <v>12478375.03</v>
      </c>
      <c r="CA43" s="54">
        <f t="shared" si="7"/>
        <v>12461852.09</v>
      </c>
      <c r="CB43" s="54">
        <f t="shared" si="7"/>
        <v>12445250.93</v>
      </c>
      <c r="CC43" s="54">
        <f t="shared" si="7"/>
        <v>12428571.2</v>
      </c>
      <c r="CD43" s="54">
        <f t="shared" si="7"/>
        <v>12411812.51</v>
      </c>
      <c r="CE43" s="54">
        <f t="shared" si="7"/>
        <v>12394974.5</v>
      </c>
      <c r="CF43" s="54">
        <f t="shared" si="7"/>
        <v>12378056.79</v>
      </c>
      <c r="CG43" s="54">
        <f t="shared" si="7"/>
        <v>12361059.01</v>
      </c>
      <c r="CH43" s="54">
        <f t="shared" si="7"/>
        <v>12343980.76</v>
      </c>
      <c r="CI43" s="54">
        <f t="shared" si="7"/>
        <v>12326821.68</v>
      </c>
      <c r="CJ43" s="54">
        <f t="shared" si="7"/>
        <v>12309581.39</v>
      </c>
      <c r="CK43" s="54">
        <f t="shared" si="7"/>
        <v>12292259.48</v>
      </c>
      <c r="CL43" s="54">
        <f t="shared" si="7"/>
        <v>12274855.59</v>
      </c>
      <c r="CM43" s="54">
        <f t="shared" si="7"/>
        <v>12257369.32</v>
      </c>
      <c r="CN43" s="54">
        <f t="shared" si="7"/>
        <v>12239800.28</v>
      </c>
      <c r="CO43" s="54">
        <f t="shared" si="7"/>
        <v>12222148.08</v>
      </c>
      <c r="CP43" s="54">
        <f t="shared" si="7"/>
        <v>12204412.32</v>
      </c>
      <c r="CQ43" s="54">
        <f t="shared" si="7"/>
        <v>12186592.62</v>
      </c>
      <c r="CR43" s="54">
        <f t="shared" si="7"/>
        <v>12168688.57</v>
      </c>
      <c r="CS43" s="54">
        <f t="shared" si="7"/>
        <v>12150699.77</v>
      </c>
      <c r="CT43" s="54">
        <f t="shared" si="7"/>
        <v>12132625.83</v>
      </c>
      <c r="CU43" s="54">
        <f t="shared" si="7"/>
        <v>12114466.33</v>
      </c>
      <c r="CV43" s="54">
        <f t="shared" si="7"/>
        <v>12096220.89</v>
      </c>
      <c r="CW43" s="54">
        <f t="shared" si="7"/>
        <v>12077889.08</v>
      </c>
      <c r="CX43" s="54">
        <f t="shared" si="7"/>
        <v>12059470.5</v>
      </c>
      <c r="CY43" s="54">
        <f t="shared" si="7"/>
        <v>12040964.74</v>
      </c>
      <c r="CZ43" s="54">
        <f t="shared" si="7"/>
        <v>12022371.38</v>
      </c>
      <c r="DA43" s="54">
        <f t="shared" si="7"/>
        <v>12003690.02</v>
      </c>
      <c r="DB43" s="54">
        <f t="shared" si="7"/>
        <v>11984920.23</v>
      </c>
      <c r="DC43" s="54">
        <f t="shared" si="7"/>
        <v>11966061.59</v>
      </c>
      <c r="DD43" s="54">
        <f t="shared" si="7"/>
        <v>11947113.7</v>
      </c>
      <c r="DE43" s="54">
        <f t="shared" si="7"/>
        <v>11928076.11</v>
      </c>
      <c r="DF43" s="54">
        <f t="shared" si="7"/>
        <v>11908948.42</v>
      </c>
      <c r="DG43" s="54">
        <f t="shared" si="7"/>
        <v>11889730.19</v>
      </c>
      <c r="DH43" s="54">
        <f t="shared" si="7"/>
        <v>11870420.99</v>
      </c>
      <c r="DI43" s="54">
        <f t="shared" si="7"/>
        <v>11851020.39</v>
      </c>
      <c r="DJ43" s="54">
        <f t="shared" si="7"/>
        <v>11831527.96</v>
      </c>
      <c r="DK43" s="54">
        <f t="shared" si="7"/>
        <v>11811943.28</v>
      </c>
      <c r="DL43" s="54">
        <f t="shared" si="7"/>
        <v>11792265.88</v>
      </c>
      <c r="DM43" s="54">
        <f t="shared" si="7"/>
        <v>11772495.35</v>
      </c>
      <c r="DN43" s="54">
        <f t="shared" si="7"/>
        <v>11752631.24</v>
      </c>
      <c r="DO43" s="54">
        <f t="shared" si="7"/>
        <v>11732673.11</v>
      </c>
      <c r="DP43" s="54">
        <f t="shared" si="7"/>
        <v>11712620.51</v>
      </c>
      <c r="DQ43" s="54">
        <f t="shared" si="7"/>
        <v>11692472.99</v>
      </c>
      <c r="DR43" s="54">
        <f t="shared" si="7"/>
        <v>11672230.11</v>
      </c>
      <c r="DS43" s="54">
        <f t="shared" si="7"/>
        <v>11651891.41</v>
      </c>
      <c r="DT43" s="54">
        <f t="shared" si="7"/>
        <v>11631456.44</v>
      </c>
      <c r="DU43" s="54">
        <f t="shared" si="7"/>
        <v>11610924.74</v>
      </c>
      <c r="DV43" s="54">
        <f t="shared" si="7"/>
        <v>11590295.86</v>
      </c>
      <c r="DW43" s="54">
        <f t="shared" si="7"/>
        <v>11569569.34</v>
      </c>
      <c r="DX43" s="54">
        <f t="shared" si="7"/>
        <v>11548744.72</v>
      </c>
      <c r="DY43" s="54">
        <f t="shared" si="7"/>
        <v>11527821.52</v>
      </c>
      <c r="DZ43" s="54">
        <f t="shared" si="7"/>
        <v>11506799.29</v>
      </c>
      <c r="EA43" s="54">
        <f t="shared" si="7"/>
        <v>11485677.55</v>
      </c>
      <c r="EB43" s="54">
        <f t="shared" si="7"/>
        <v>11464455.83</v>
      </c>
      <c r="EC43" s="54">
        <f t="shared" si="7"/>
        <v>11443133.67</v>
      </c>
      <c r="ED43" s="54">
        <f t="shared" si="7"/>
        <v>11421710.58</v>
      </c>
      <c r="EE43" s="54">
        <f t="shared" si="7"/>
        <v>11400186.09</v>
      </c>
    </row>
    <row r="44" ht="15.75" customHeight="1">
      <c r="A44" s="1"/>
      <c r="B44" s="1"/>
      <c r="C44" s="1" t="s">
        <v>172</v>
      </c>
      <c r="D44" s="54">
        <f>(D43*Assumptions!$AF44/12)*IF(D1&gt;Assumptions!$AF$47,1,0)</f>
        <v>0</v>
      </c>
      <c r="E44" s="54">
        <f>(E43*Assumptions!$AF44/12)*IF(E1&gt;Assumptions!$AF$47,1,0)</f>
        <v>0</v>
      </c>
      <c r="F44" s="54">
        <f>(F43*Assumptions!$AF44/12)*IF(F1&gt;Assumptions!$AF$47,1,0)</f>
        <v>0</v>
      </c>
      <c r="G44" s="54">
        <f>(G43*Assumptions!$AF44/12)*IF(G1&gt;Assumptions!$AF$47,1,0)</f>
        <v>0</v>
      </c>
      <c r="H44" s="54">
        <f>(H43*Assumptions!$AF44/12)*IF(H1&gt;Assumptions!$AF$47,1,0)</f>
        <v>0</v>
      </c>
      <c r="I44" s="54">
        <f>(I43*Assumptions!$AF44/12)*IF(I1&gt;Assumptions!$AF$47,1,0)</f>
        <v>0</v>
      </c>
      <c r="J44" s="54">
        <f>(J43*Assumptions!$AF44/12)*IF(J1&gt;Assumptions!$AF$47,1,0)</f>
        <v>0</v>
      </c>
      <c r="K44" s="54">
        <f>(K43*Assumptions!$AF44/12)*IF(K1&gt;Assumptions!$AF$47,1,0)</f>
        <v>0</v>
      </c>
      <c r="L44" s="54">
        <f>(L43*Assumptions!$AF44/12)*IF(L1&gt;Assumptions!$AF$47,1,0)</f>
        <v>0</v>
      </c>
      <c r="M44" s="54">
        <f>(M43*Assumptions!$AF44/12)*IF(M1&gt;Assumptions!$AF$47,1,0)</f>
        <v>0</v>
      </c>
      <c r="N44" s="54">
        <f>(N43*Assumptions!$AF44/12)*IF(N1&gt;Assumptions!$AF$47,1,0)</f>
        <v>0</v>
      </c>
      <c r="O44" s="54">
        <f>(O43*Assumptions!$AF44/12)*IF(O1&gt;Assumptions!$AF$47,1,0)</f>
        <v>0</v>
      </c>
      <c r="P44" s="54">
        <f>(P43*Assumptions!$AF44/12)*IF(P1&gt;Assumptions!$AF$47,1,0)</f>
        <v>0</v>
      </c>
      <c r="Q44" s="54">
        <f>(Q43*Assumptions!$AF44/12)*IF(Q1&gt;Assumptions!$AF$47,1,0)</f>
        <v>0</v>
      </c>
      <c r="R44" s="54">
        <f>(R43*Assumptions!$AF44/12)*IF(R1&gt;Assumptions!$AF$47,1,0)</f>
        <v>0</v>
      </c>
      <c r="S44" s="54">
        <f>(S43*Assumptions!$AF44/12)*IF(S1&gt;Assumptions!$AF$47,1,0)</f>
        <v>0</v>
      </c>
      <c r="T44" s="54">
        <f>(T43*Assumptions!$AF44/12)*IF(T1&gt;Assumptions!$AF$47,1,0)</f>
        <v>0</v>
      </c>
      <c r="U44" s="54">
        <f>(U43*Assumptions!$AF44/12)*IF(U1&gt;Assumptions!$AF$47,1,0)</f>
        <v>0</v>
      </c>
      <c r="V44" s="54">
        <f>(V43*Assumptions!$AF44/12)*IF(V1&gt;Assumptions!$AF$47,1,0)</f>
        <v>0</v>
      </c>
      <c r="W44" s="54">
        <f>(W43*Assumptions!$AF44/12)*IF(W1&gt;Assumptions!$AF$47,1,0)</f>
        <v>0</v>
      </c>
      <c r="X44" s="54">
        <f>(X43*Assumptions!$AF44/12)*IF(X1&gt;Assumptions!$AF$47,1,0)</f>
        <v>0</v>
      </c>
      <c r="Y44" s="54">
        <f>(Y43*Assumptions!$AF44/12)*IF(Y1&gt;Assumptions!$AF$47,1,0)</f>
        <v>0</v>
      </c>
      <c r="Z44" s="54">
        <f>(Z43*Assumptions!$AF44/12)*IF(Z1&gt;Assumptions!$AF$47,1,0)</f>
        <v>0</v>
      </c>
      <c r="AA44" s="54">
        <f>(AA43*Assumptions!$AF44/12)*IF(AA1&gt;Assumptions!$AF$47,1,0)</f>
        <v>0</v>
      </c>
      <c r="AB44" s="54">
        <f>(AB43*Assumptions!$AF44/12)*IF(AB1&gt;Assumptions!$AF$47,1,0)</f>
        <v>0</v>
      </c>
      <c r="AC44" s="54">
        <f>(AC43*Assumptions!$AF44/12)*IF(AC1&gt;Assumptions!$AF$47,1,0)</f>
        <v>0</v>
      </c>
      <c r="AD44" s="54">
        <f>(AD43*Assumptions!$AF44/12)*IF(AD1&gt;Assumptions!$AF$47,1,0)</f>
        <v>0</v>
      </c>
      <c r="AE44" s="54">
        <f>(AE43*Assumptions!$AF44/12)*IF(AE1&gt;Assumptions!$AF$47,1,0)</f>
        <v>0</v>
      </c>
      <c r="AF44" s="54">
        <f>(AF43*Assumptions!$AF44/12)*IF(AF1&gt;Assumptions!$AF$47,1,0)</f>
        <v>0</v>
      </c>
      <c r="AG44" s="54">
        <f>(AG43*Assumptions!$AF44/12)*IF(AG1&gt;Assumptions!$AF$47,1,0)</f>
        <v>0</v>
      </c>
      <c r="AH44" s="54">
        <f>(AH43*Assumptions!$AF44/12)*IF(AH1&gt;Assumptions!$AF$47,1,0)</f>
        <v>0</v>
      </c>
      <c r="AI44" s="54">
        <f>(AI43*Assumptions!$AF44/12)*IF(AI1&gt;Assumptions!$AF$47,1,0)</f>
        <v>0</v>
      </c>
      <c r="AJ44" s="54">
        <f>(AJ43*Assumptions!$AF44/12)*IF(AJ1&gt;Assumptions!$AF$47,1,0)</f>
        <v>0</v>
      </c>
      <c r="AK44" s="54">
        <f>(AK43*Assumptions!$AF44/12)*IF(AK1&gt;Assumptions!$AF$47,1,0)</f>
        <v>0</v>
      </c>
      <c r="AL44" s="54">
        <f>(AL43*Assumptions!$AF44/12)*IF(AL1&gt;Assumptions!$AF$47,1,0)</f>
        <v>0</v>
      </c>
      <c r="AM44" s="54">
        <f>(AM43*Assumptions!$AF44/12)*IF(AM1&gt;Assumptions!$AF$47,1,0)</f>
        <v>0</v>
      </c>
      <c r="AN44" s="54">
        <f>(AN43*Assumptions!$AF44/12)*IF(AN1&gt;Assumptions!$AF$47,1,0)</f>
        <v>61778.43127</v>
      </c>
      <c r="AO44" s="54">
        <f>(AO43*Assumptions!$AF44/12)*IF(AO1&gt;Assumptions!$AF$47,1,0)</f>
        <v>61713.0695</v>
      </c>
      <c r="AP44" s="54">
        <f>(AP43*Assumptions!$AF44/12)*IF(AP1&gt;Assumptions!$AF$47,1,0)</f>
        <v>61647.39836</v>
      </c>
      <c r="AQ44" s="54">
        <f>(AQ43*Assumptions!$AF44/12)*IF(AQ1&gt;Assumptions!$AF$47,1,0)</f>
        <v>61581.41637</v>
      </c>
      <c r="AR44" s="54">
        <f>(AR43*Assumptions!$AF44/12)*IF(AR1&gt;Assumptions!$AF$47,1,0)</f>
        <v>61515.12206</v>
      </c>
      <c r="AS44" s="54">
        <f>(AS43*Assumptions!$AF44/12)*IF(AS1&gt;Assumptions!$AF$47,1,0)</f>
        <v>61448.51397</v>
      </c>
      <c r="AT44" s="54">
        <f>(AT43*Assumptions!$AF44/12)*IF(AT1&gt;Assumptions!$AF$47,1,0)</f>
        <v>61381.59059</v>
      </c>
      <c r="AU44" s="54">
        <f>(AU43*Assumptions!$AF44/12)*IF(AU1&gt;Assumptions!$AF$47,1,0)</f>
        <v>61314.35045</v>
      </c>
      <c r="AV44" s="54">
        <f>(AV43*Assumptions!$AF44/12)*IF(AV1&gt;Assumptions!$AF$47,1,0)</f>
        <v>61246.79203</v>
      </c>
      <c r="AW44" s="54">
        <f>(AW43*Assumptions!$AF44/12)*IF(AW1&gt;Assumptions!$AF$47,1,0)</f>
        <v>61178.91384</v>
      </c>
      <c r="AX44" s="54">
        <f>(AX43*Assumptions!$AF44/12)*IF(AX1&gt;Assumptions!$AF$47,1,0)</f>
        <v>61110.71435</v>
      </c>
      <c r="AY44" s="54">
        <f>(AY43*Assumptions!$AF44/12)*IF(AY1&gt;Assumptions!$AF$47,1,0)</f>
        <v>61042.19206</v>
      </c>
      <c r="AZ44" s="54">
        <f>(AZ43*Assumptions!$AF44/12)*IF(AZ1&gt;Assumptions!$AF$47,1,0)</f>
        <v>60973.34543</v>
      </c>
      <c r="BA44" s="54">
        <f>(BA43*Assumptions!$AF44/12)*IF(BA1&gt;Assumptions!$AF$47,1,0)</f>
        <v>60904.17292</v>
      </c>
      <c r="BB44" s="54">
        <f>(BB43*Assumptions!$AF44/12)*IF(BB1&gt;Assumptions!$AF$47,1,0)</f>
        <v>60834.673</v>
      </c>
      <c r="BC44" s="54">
        <f>(BC43*Assumptions!$AF44/12)*IF(BC1&gt;Assumptions!$AF$47,1,0)</f>
        <v>60764.84411</v>
      </c>
      <c r="BD44" s="54">
        <f>(BD43*Assumptions!$AF44/12)*IF(BD1&gt;Assumptions!$AF$47,1,0)</f>
        <v>60694.6847</v>
      </c>
      <c r="BE44" s="54">
        <f>(BE43*Assumptions!$AF44/12)*IF(BE1&gt;Assumptions!$AF$47,1,0)</f>
        <v>60624.1932</v>
      </c>
      <c r="BF44" s="54">
        <f>(BF43*Assumptions!$AF44/12)*IF(BF1&gt;Assumptions!$AF$47,1,0)</f>
        <v>60553.36804</v>
      </c>
      <c r="BG44" s="54">
        <f>(BG43*Assumptions!$AF44/12)*IF(BG1&gt;Assumptions!$AF$47,1,0)</f>
        <v>60482.20764</v>
      </c>
      <c r="BH44" s="54">
        <f>(BH43*Assumptions!$AF44/12)*IF(BH1&gt;Assumptions!$AF$47,1,0)</f>
        <v>60410.71041</v>
      </c>
      <c r="BI44" s="54">
        <f>(BI43*Assumptions!$AF44/12)*IF(BI1&gt;Assumptions!$AF$47,1,0)</f>
        <v>60338.87476</v>
      </c>
      <c r="BJ44" s="54">
        <f>(BJ43*Assumptions!$AF44/12)*IF(BJ1&gt;Assumptions!$AF$47,1,0)</f>
        <v>60266.6991</v>
      </c>
      <c r="BK44" s="54">
        <f>(BK43*Assumptions!$AF44/12)*IF(BK1&gt;Assumptions!$AF$47,1,0)</f>
        <v>60194.1818</v>
      </c>
      <c r="BL44" s="54">
        <f>(BL43*Assumptions!$AF44/12)*IF(BL1&gt;Assumptions!$AF$47,1,0)</f>
        <v>60121.32125</v>
      </c>
      <c r="BM44" s="54">
        <f>(BM43*Assumptions!$AF44/12)*IF(BM1&gt;Assumptions!$AF$47,1,0)</f>
        <v>60048.11583</v>
      </c>
      <c r="BN44" s="54">
        <f>(BN43*Assumptions!$AF44/12)*IF(BN1&gt;Assumptions!$AF$47,1,0)</f>
        <v>59974.5639</v>
      </c>
      <c r="BO44" s="54">
        <f>(BO43*Assumptions!$AF44/12)*IF(BO1&gt;Assumptions!$AF$47,1,0)</f>
        <v>59900.66383</v>
      </c>
      <c r="BP44" s="54">
        <f>(BP43*Assumptions!$AF44/12)*IF(BP1&gt;Assumptions!$AF$47,1,0)</f>
        <v>59826.41396</v>
      </c>
      <c r="BQ44" s="54">
        <f>(BQ43*Assumptions!$AF44/12)*IF(BQ1&gt;Assumptions!$AF$47,1,0)</f>
        <v>59751.81265</v>
      </c>
      <c r="BR44" s="54">
        <f>(BR43*Assumptions!$AF44/12)*IF(BR1&gt;Assumptions!$AF$47,1,0)</f>
        <v>59676.85822</v>
      </c>
      <c r="BS44" s="54">
        <f>(BS43*Assumptions!$AF44/12)*IF(BS1&gt;Assumptions!$AF$47,1,0)</f>
        <v>59601.54901</v>
      </c>
      <c r="BT44" s="54">
        <f>(BT43*Assumptions!$AF44/12)*IF(BT1&gt;Assumptions!$AF$47,1,0)</f>
        <v>59525.88333</v>
      </c>
      <c r="BU44" s="54">
        <f>(BU43*Assumptions!$AF44/12)*IF(BU1&gt;Assumptions!$AF$47,1,0)</f>
        <v>59449.8595</v>
      </c>
      <c r="BV44" s="54">
        <f>(BV43*Assumptions!$AF44/12)*IF(BV1&gt;Assumptions!$AF$47,1,0)</f>
        <v>59373.47583</v>
      </c>
      <c r="BW44" s="54">
        <f>(BW43*Assumptions!$AF44/12)*IF(BW1&gt;Assumptions!$AF$47,1,0)</f>
        <v>59296.73061</v>
      </c>
      <c r="BX44" s="54">
        <f>(BX43*Assumptions!$AF44/12)*IF(BX1&gt;Assumptions!$AF$47,1,0)</f>
        <v>59219.62213</v>
      </c>
      <c r="BY44" s="54">
        <f>(BY43*Assumptions!$AF44/12)*IF(BY1&gt;Assumptions!$AF$47,1,0)</f>
        <v>59142.14866</v>
      </c>
      <c r="BZ44" s="54">
        <f>(BZ43*Assumptions!$AF44/12)*IF(BZ1&gt;Assumptions!$AF$47,1,0)</f>
        <v>59064.30849</v>
      </c>
      <c r="CA44" s="54">
        <f>(CA43*Assumptions!$AF44/12)*IF(CA1&gt;Assumptions!$AF$47,1,0)</f>
        <v>58986.09988</v>
      </c>
      <c r="CB44" s="54">
        <f>(CB43*Assumptions!$AF44/12)*IF(CB1&gt;Assumptions!$AF$47,1,0)</f>
        <v>58907.52107</v>
      </c>
      <c r="CC44" s="54">
        <f>(CC43*Assumptions!$AF44/12)*IF(CC1&gt;Assumptions!$AF$47,1,0)</f>
        <v>58828.57033</v>
      </c>
      <c r="CD44" s="54">
        <f>(CD43*Assumptions!$AF44/12)*IF(CD1&gt;Assumptions!$AF$47,1,0)</f>
        <v>58749.24589</v>
      </c>
      <c r="CE44" s="54">
        <f>(CE43*Assumptions!$AF44/12)*IF(CE1&gt;Assumptions!$AF$47,1,0)</f>
        <v>58669.54598</v>
      </c>
      <c r="CF44" s="54">
        <f>(CF43*Assumptions!$AF44/12)*IF(CF1&gt;Assumptions!$AF$47,1,0)</f>
        <v>58589.46882</v>
      </c>
      <c r="CG44" s="54">
        <f>(CG43*Assumptions!$AF44/12)*IF(CG1&gt;Assumptions!$AF$47,1,0)</f>
        <v>58509.01263</v>
      </c>
      <c r="CH44" s="54">
        <f>(CH43*Assumptions!$AF44/12)*IF(CH1&gt;Assumptions!$AF$47,1,0)</f>
        <v>58428.17562</v>
      </c>
      <c r="CI44" s="54">
        <f>(CI43*Assumptions!$AF44/12)*IF(CI1&gt;Assumptions!$AF$47,1,0)</f>
        <v>58346.95597</v>
      </c>
      <c r="CJ44" s="54">
        <f>(CJ43*Assumptions!$AF44/12)*IF(CJ1&gt;Assumptions!$AF$47,1,0)</f>
        <v>58265.35189</v>
      </c>
      <c r="CK44" s="54">
        <f>(CK43*Assumptions!$AF44/12)*IF(CK1&gt;Assumptions!$AF$47,1,0)</f>
        <v>58183.36155</v>
      </c>
      <c r="CL44" s="54">
        <f>(CL43*Assumptions!$AF44/12)*IF(CL1&gt;Assumptions!$AF$47,1,0)</f>
        <v>58100.98312</v>
      </c>
      <c r="CM44" s="54">
        <f>(CM43*Assumptions!$AF44/12)*IF(CM1&gt;Assumptions!$AF$47,1,0)</f>
        <v>58018.21476</v>
      </c>
      <c r="CN44" s="54">
        <f>(CN43*Assumptions!$AF44/12)*IF(CN1&gt;Assumptions!$AF$47,1,0)</f>
        <v>57935.05464</v>
      </c>
      <c r="CO44" s="54">
        <f>(CO43*Assumptions!$AF44/12)*IF(CO1&gt;Assumptions!$AF$47,1,0)</f>
        <v>57851.50089</v>
      </c>
      <c r="CP44" s="54">
        <f>(CP43*Assumptions!$AF44/12)*IF(CP1&gt;Assumptions!$AF$47,1,0)</f>
        <v>57767.55165</v>
      </c>
      <c r="CQ44" s="54">
        <f>(CQ43*Assumptions!$AF44/12)*IF(CQ1&gt;Assumptions!$AF$47,1,0)</f>
        <v>57683.20505</v>
      </c>
      <c r="CR44" s="54">
        <f>(CR43*Assumptions!$AF44/12)*IF(CR1&gt;Assumptions!$AF$47,1,0)</f>
        <v>57598.45922</v>
      </c>
      <c r="CS44" s="54">
        <f>(CS43*Assumptions!$AF44/12)*IF(CS1&gt;Assumptions!$AF$47,1,0)</f>
        <v>57513.31225</v>
      </c>
      <c r="CT44" s="54">
        <f>(CT43*Assumptions!$AF44/12)*IF(CT1&gt;Assumptions!$AF$47,1,0)</f>
        <v>57427.76225</v>
      </c>
      <c r="CU44" s="54">
        <f>(CU43*Assumptions!$AF44/12)*IF(CU1&gt;Assumptions!$AF$47,1,0)</f>
        <v>57341.80732</v>
      </c>
      <c r="CV44" s="54">
        <f>(CV43*Assumptions!$AF44/12)*IF(CV1&gt;Assumptions!$AF$47,1,0)</f>
        <v>57255.44553</v>
      </c>
      <c r="CW44" s="54">
        <f>(CW43*Assumptions!$AF44/12)*IF(CW1&gt;Assumptions!$AF$47,1,0)</f>
        <v>57168.67497</v>
      </c>
      <c r="CX44" s="54">
        <f>(CX43*Assumptions!$AF44/12)*IF(CX1&gt;Assumptions!$AF$47,1,0)</f>
        <v>57081.49369</v>
      </c>
      <c r="CY44" s="54">
        <f>(CY43*Assumptions!$AF44/12)*IF(CY1&gt;Assumptions!$AF$47,1,0)</f>
        <v>56993.89975</v>
      </c>
      <c r="CZ44" s="54">
        <f>(CZ43*Assumptions!$AF44/12)*IF(CZ1&gt;Assumptions!$AF$47,1,0)</f>
        <v>56905.8912</v>
      </c>
      <c r="DA44" s="54">
        <f>(DA43*Assumptions!$AF44/12)*IF(DA1&gt;Assumptions!$AF$47,1,0)</f>
        <v>56817.46607</v>
      </c>
      <c r="DB44" s="54">
        <f>(DB43*Assumptions!$AF44/12)*IF(DB1&gt;Assumptions!$AF$47,1,0)</f>
        <v>56728.62241</v>
      </c>
      <c r="DC44" s="54">
        <f>(DC43*Assumptions!$AF44/12)*IF(DC1&gt;Assumptions!$AF$47,1,0)</f>
        <v>56639.35821</v>
      </c>
      <c r="DD44" s="54">
        <f>(DD43*Assumptions!$AF44/12)*IF(DD1&gt;Assumptions!$AF$47,1,0)</f>
        <v>56549.6715</v>
      </c>
      <c r="DE44" s="54">
        <f>(DE43*Assumptions!$AF44/12)*IF(DE1&gt;Assumptions!$AF$47,1,0)</f>
        <v>56459.56027</v>
      </c>
      <c r="DF44" s="54">
        <f>(DF43*Assumptions!$AF44/12)*IF(DF1&gt;Assumptions!$AF$47,1,0)</f>
        <v>56369.02251</v>
      </c>
      <c r="DG44" s="54">
        <f>(DG43*Assumptions!$AF44/12)*IF(DG1&gt;Assumptions!$AF$47,1,0)</f>
        <v>56278.05621</v>
      </c>
      <c r="DH44" s="54">
        <f>(DH43*Assumptions!$AF44/12)*IF(DH1&gt;Assumptions!$AF$47,1,0)</f>
        <v>56186.65933</v>
      </c>
      <c r="DI44" s="54">
        <f>(DI43*Assumptions!$AF44/12)*IF(DI1&gt;Assumptions!$AF$47,1,0)</f>
        <v>56094.82985</v>
      </c>
      <c r="DJ44" s="54">
        <f>(DJ43*Assumptions!$AF44/12)*IF(DJ1&gt;Assumptions!$AF$47,1,0)</f>
        <v>56002.5657</v>
      </c>
      <c r="DK44" s="54">
        <f>(DK43*Assumptions!$AF44/12)*IF(DK1&gt;Assumptions!$AF$47,1,0)</f>
        <v>55909.86484</v>
      </c>
      <c r="DL44" s="54">
        <f>(DL43*Assumptions!$AF44/12)*IF(DL1&gt;Assumptions!$AF$47,1,0)</f>
        <v>55816.72519</v>
      </c>
      <c r="DM44" s="54">
        <f>(DM43*Assumptions!$AF44/12)*IF(DM1&gt;Assumptions!$AF$47,1,0)</f>
        <v>55723.14468</v>
      </c>
      <c r="DN44" s="54">
        <f>(DN43*Assumptions!$AF44/12)*IF(DN1&gt;Assumptions!$AF$47,1,0)</f>
        <v>55629.12122</v>
      </c>
      <c r="DO44" s="54">
        <f>(DO43*Assumptions!$AF44/12)*IF(DO1&gt;Assumptions!$AF$47,1,0)</f>
        <v>55534.65272</v>
      </c>
      <c r="DP44" s="54">
        <f>(DP43*Assumptions!$AF44/12)*IF(DP1&gt;Assumptions!$AF$47,1,0)</f>
        <v>55439.73707</v>
      </c>
      <c r="DQ44" s="54">
        <f>(DQ43*Assumptions!$AF44/12)*IF(DQ1&gt;Assumptions!$AF$47,1,0)</f>
        <v>55344.37215</v>
      </c>
      <c r="DR44" s="54">
        <f>(DR43*Assumptions!$AF44/12)*IF(DR1&gt;Assumptions!$AF$47,1,0)</f>
        <v>55248.55584</v>
      </c>
      <c r="DS44" s="54">
        <f>(DS43*Assumptions!$AF44/12)*IF(DS1&gt;Assumptions!$AF$47,1,0)</f>
        <v>55152.28599</v>
      </c>
      <c r="DT44" s="54">
        <f>(DT43*Assumptions!$AF44/12)*IF(DT1&gt;Assumptions!$AF$47,1,0)</f>
        <v>55055.56047</v>
      </c>
      <c r="DU44" s="54">
        <f>(DU43*Assumptions!$AF44/12)*IF(DU1&gt;Assumptions!$AF$47,1,0)</f>
        <v>54958.37712</v>
      </c>
      <c r="DV44" s="54">
        <f>(DV43*Assumptions!$AF44/12)*IF(DV1&gt;Assumptions!$AF$47,1,0)</f>
        <v>54860.73376</v>
      </c>
      <c r="DW44" s="54">
        <f>(DW43*Assumptions!$AF44/12)*IF(DW1&gt;Assumptions!$AF$47,1,0)</f>
        <v>54762.62822</v>
      </c>
      <c r="DX44" s="54">
        <f>(DX43*Assumptions!$AF44/12)*IF(DX1&gt;Assumptions!$AF$47,1,0)</f>
        <v>54664.05832</v>
      </c>
      <c r="DY44" s="54">
        <f>(DY43*Assumptions!$AF44/12)*IF(DY1&gt;Assumptions!$AF$47,1,0)</f>
        <v>54565.02186</v>
      </c>
      <c r="DZ44" s="54">
        <f>(DZ43*Assumptions!$AF44/12)*IF(DZ1&gt;Assumptions!$AF$47,1,0)</f>
        <v>54465.51662</v>
      </c>
      <c r="EA44" s="54">
        <f>(EA43*Assumptions!$AF44/12)*IF(EA1&gt;Assumptions!$AF$47,1,0)</f>
        <v>54365.54039</v>
      </c>
      <c r="EB44" s="54">
        <f>(EB43*Assumptions!$AF44/12)*IF(EB1&gt;Assumptions!$AF$47,1,0)</f>
        <v>54265.09094</v>
      </c>
      <c r="EC44" s="54">
        <f>(EC43*Assumptions!$AF44/12)*IF(EC1&gt;Assumptions!$AF$47,1,0)</f>
        <v>54164.16603</v>
      </c>
      <c r="ED44" s="54">
        <f>(ED43*Assumptions!$AF44/12)*IF(ED1&gt;Assumptions!$AF$47,1,0)</f>
        <v>54062.76341</v>
      </c>
      <c r="EE44" s="54">
        <f>(EE43*Assumptions!$AF44/12)*IF(EE1&gt;Assumptions!$AF$47,1,0)</f>
        <v>53960.88081</v>
      </c>
    </row>
    <row r="45" ht="15.75" customHeight="1">
      <c r="A45" s="1"/>
      <c r="B45" s="1"/>
      <c r="C45" s="1" t="s">
        <v>196</v>
      </c>
      <c r="D45" s="54">
        <f t="shared" ref="D45:EE45" si="8">D46-D44</f>
        <v>0</v>
      </c>
      <c r="E45" s="54">
        <f t="shared" si="8"/>
        <v>0</v>
      </c>
      <c r="F45" s="54">
        <f t="shared" si="8"/>
        <v>0</v>
      </c>
      <c r="G45" s="54">
        <f t="shared" si="8"/>
        <v>0</v>
      </c>
      <c r="H45" s="54">
        <f t="shared" si="8"/>
        <v>0</v>
      </c>
      <c r="I45" s="54">
        <f t="shared" si="8"/>
        <v>0</v>
      </c>
      <c r="J45" s="54">
        <f t="shared" si="8"/>
        <v>0</v>
      </c>
      <c r="K45" s="54">
        <f t="shared" si="8"/>
        <v>0</v>
      </c>
      <c r="L45" s="54">
        <f t="shared" si="8"/>
        <v>0</v>
      </c>
      <c r="M45" s="54">
        <f t="shared" si="8"/>
        <v>0</v>
      </c>
      <c r="N45" s="54">
        <f t="shared" si="8"/>
        <v>0</v>
      </c>
      <c r="O45" s="54">
        <f t="shared" si="8"/>
        <v>0</v>
      </c>
      <c r="P45" s="54">
        <f t="shared" si="8"/>
        <v>0</v>
      </c>
      <c r="Q45" s="54">
        <f t="shared" si="8"/>
        <v>0</v>
      </c>
      <c r="R45" s="54">
        <f t="shared" si="8"/>
        <v>0</v>
      </c>
      <c r="S45" s="54">
        <f t="shared" si="8"/>
        <v>0</v>
      </c>
      <c r="T45" s="54">
        <f t="shared" si="8"/>
        <v>0</v>
      </c>
      <c r="U45" s="54">
        <f t="shared" si="8"/>
        <v>0</v>
      </c>
      <c r="V45" s="54">
        <f t="shared" si="8"/>
        <v>0</v>
      </c>
      <c r="W45" s="54">
        <f t="shared" si="8"/>
        <v>0</v>
      </c>
      <c r="X45" s="54">
        <f t="shared" si="8"/>
        <v>0</v>
      </c>
      <c r="Y45" s="54">
        <f t="shared" si="8"/>
        <v>0</v>
      </c>
      <c r="Z45" s="54">
        <f t="shared" si="8"/>
        <v>0</v>
      </c>
      <c r="AA45" s="54">
        <f t="shared" si="8"/>
        <v>0</v>
      </c>
      <c r="AB45" s="54">
        <f t="shared" si="8"/>
        <v>0</v>
      </c>
      <c r="AC45" s="54">
        <f t="shared" si="8"/>
        <v>0</v>
      </c>
      <c r="AD45" s="54">
        <f t="shared" si="8"/>
        <v>0</v>
      </c>
      <c r="AE45" s="54">
        <f t="shared" si="8"/>
        <v>0</v>
      </c>
      <c r="AF45" s="54">
        <f t="shared" si="8"/>
        <v>0</v>
      </c>
      <c r="AG45" s="54">
        <f t="shared" si="8"/>
        <v>0</v>
      </c>
      <c r="AH45" s="54">
        <f t="shared" si="8"/>
        <v>0</v>
      </c>
      <c r="AI45" s="54">
        <f t="shared" si="8"/>
        <v>0</v>
      </c>
      <c r="AJ45" s="54">
        <f t="shared" si="8"/>
        <v>0</v>
      </c>
      <c r="AK45" s="54">
        <f t="shared" si="8"/>
        <v>0</v>
      </c>
      <c r="AL45" s="54">
        <f t="shared" si="8"/>
        <v>0</v>
      </c>
      <c r="AM45" s="54">
        <f t="shared" si="8"/>
        <v>0</v>
      </c>
      <c r="AN45" s="54">
        <f t="shared" si="8"/>
        <v>13808.82398</v>
      </c>
      <c r="AO45" s="54">
        <f t="shared" si="8"/>
        <v>13874.18575</v>
      </c>
      <c r="AP45" s="54">
        <f t="shared" si="8"/>
        <v>13939.8569</v>
      </c>
      <c r="AQ45" s="54">
        <f t="shared" si="8"/>
        <v>14005.83889</v>
      </c>
      <c r="AR45" s="54">
        <f t="shared" si="8"/>
        <v>14072.13319</v>
      </c>
      <c r="AS45" s="54">
        <f t="shared" si="8"/>
        <v>14138.74129</v>
      </c>
      <c r="AT45" s="54">
        <f t="shared" si="8"/>
        <v>14205.66466</v>
      </c>
      <c r="AU45" s="54">
        <f t="shared" si="8"/>
        <v>14272.90481</v>
      </c>
      <c r="AV45" s="54">
        <f t="shared" si="8"/>
        <v>14340.46322</v>
      </c>
      <c r="AW45" s="54">
        <f t="shared" si="8"/>
        <v>14408.34142</v>
      </c>
      <c r="AX45" s="54">
        <f t="shared" si="8"/>
        <v>14476.5409</v>
      </c>
      <c r="AY45" s="54">
        <f t="shared" si="8"/>
        <v>14545.06319</v>
      </c>
      <c r="AZ45" s="54">
        <f t="shared" si="8"/>
        <v>14613.90983</v>
      </c>
      <c r="BA45" s="54">
        <f t="shared" si="8"/>
        <v>14683.08233</v>
      </c>
      <c r="BB45" s="54">
        <f t="shared" si="8"/>
        <v>14752.58226</v>
      </c>
      <c r="BC45" s="54">
        <f t="shared" si="8"/>
        <v>14822.41115</v>
      </c>
      <c r="BD45" s="54">
        <f t="shared" si="8"/>
        <v>14892.57056</v>
      </c>
      <c r="BE45" s="54">
        <f t="shared" si="8"/>
        <v>14963.06206</v>
      </c>
      <c r="BF45" s="54">
        <f t="shared" si="8"/>
        <v>15033.88722</v>
      </c>
      <c r="BG45" s="54">
        <f t="shared" si="8"/>
        <v>15105.04762</v>
      </c>
      <c r="BH45" s="54">
        <f t="shared" si="8"/>
        <v>15176.54484</v>
      </c>
      <c r="BI45" s="54">
        <f t="shared" si="8"/>
        <v>15248.38049</v>
      </c>
      <c r="BJ45" s="54">
        <f t="shared" si="8"/>
        <v>15320.55616</v>
      </c>
      <c r="BK45" s="54">
        <f t="shared" si="8"/>
        <v>15393.07346</v>
      </c>
      <c r="BL45" s="54">
        <f t="shared" si="8"/>
        <v>15465.934</v>
      </c>
      <c r="BM45" s="54">
        <f t="shared" si="8"/>
        <v>15539.13942</v>
      </c>
      <c r="BN45" s="54">
        <f t="shared" si="8"/>
        <v>15612.69135</v>
      </c>
      <c r="BO45" s="54">
        <f t="shared" si="8"/>
        <v>15686.59142</v>
      </c>
      <c r="BP45" s="54">
        <f t="shared" si="8"/>
        <v>15760.84129</v>
      </c>
      <c r="BQ45" s="54">
        <f t="shared" si="8"/>
        <v>15835.44261</v>
      </c>
      <c r="BR45" s="54">
        <f t="shared" si="8"/>
        <v>15910.39703</v>
      </c>
      <c r="BS45" s="54">
        <f t="shared" si="8"/>
        <v>15985.70625</v>
      </c>
      <c r="BT45" s="54">
        <f t="shared" si="8"/>
        <v>16061.37192</v>
      </c>
      <c r="BU45" s="54">
        <f t="shared" si="8"/>
        <v>16137.39575</v>
      </c>
      <c r="BV45" s="54">
        <f t="shared" si="8"/>
        <v>16213.77942</v>
      </c>
      <c r="BW45" s="54">
        <f t="shared" si="8"/>
        <v>16290.52465</v>
      </c>
      <c r="BX45" s="54">
        <f t="shared" si="8"/>
        <v>16367.63313</v>
      </c>
      <c r="BY45" s="54">
        <f t="shared" si="8"/>
        <v>16445.10659</v>
      </c>
      <c r="BZ45" s="54">
        <f t="shared" si="8"/>
        <v>16522.94676</v>
      </c>
      <c r="CA45" s="54">
        <f t="shared" si="8"/>
        <v>16601.15538</v>
      </c>
      <c r="CB45" s="54">
        <f t="shared" si="8"/>
        <v>16679.73418</v>
      </c>
      <c r="CC45" s="54">
        <f t="shared" si="8"/>
        <v>16758.68492</v>
      </c>
      <c r="CD45" s="54">
        <f t="shared" si="8"/>
        <v>16838.00936</v>
      </c>
      <c r="CE45" s="54">
        <f t="shared" si="8"/>
        <v>16917.70928</v>
      </c>
      <c r="CF45" s="54">
        <f t="shared" si="8"/>
        <v>16997.78643</v>
      </c>
      <c r="CG45" s="54">
        <f t="shared" si="8"/>
        <v>17078.24262</v>
      </c>
      <c r="CH45" s="54">
        <f t="shared" si="8"/>
        <v>17159.07964</v>
      </c>
      <c r="CI45" s="54">
        <f t="shared" si="8"/>
        <v>17240.29928</v>
      </c>
      <c r="CJ45" s="54">
        <f t="shared" si="8"/>
        <v>17321.90336</v>
      </c>
      <c r="CK45" s="54">
        <f t="shared" si="8"/>
        <v>17403.89371</v>
      </c>
      <c r="CL45" s="54">
        <f t="shared" si="8"/>
        <v>17486.27214</v>
      </c>
      <c r="CM45" s="54">
        <f t="shared" si="8"/>
        <v>17569.04049</v>
      </c>
      <c r="CN45" s="54">
        <f t="shared" si="8"/>
        <v>17652.20062</v>
      </c>
      <c r="CO45" s="54">
        <f t="shared" si="8"/>
        <v>17735.75437</v>
      </c>
      <c r="CP45" s="54">
        <f t="shared" si="8"/>
        <v>17819.7036</v>
      </c>
      <c r="CQ45" s="54">
        <f t="shared" si="8"/>
        <v>17904.0502</v>
      </c>
      <c r="CR45" s="54">
        <f t="shared" si="8"/>
        <v>17988.79604</v>
      </c>
      <c r="CS45" s="54">
        <f t="shared" si="8"/>
        <v>18073.94301</v>
      </c>
      <c r="CT45" s="54">
        <f t="shared" si="8"/>
        <v>18159.493</v>
      </c>
      <c r="CU45" s="54">
        <f t="shared" si="8"/>
        <v>18245.44794</v>
      </c>
      <c r="CV45" s="54">
        <f t="shared" si="8"/>
        <v>18331.80972</v>
      </c>
      <c r="CW45" s="54">
        <f t="shared" si="8"/>
        <v>18418.58029</v>
      </c>
      <c r="CX45" s="54">
        <f t="shared" si="8"/>
        <v>18505.76157</v>
      </c>
      <c r="CY45" s="54">
        <f t="shared" si="8"/>
        <v>18593.35551</v>
      </c>
      <c r="CZ45" s="54">
        <f t="shared" si="8"/>
        <v>18681.36406</v>
      </c>
      <c r="DA45" s="54">
        <f t="shared" si="8"/>
        <v>18769.78918</v>
      </c>
      <c r="DB45" s="54">
        <f t="shared" si="8"/>
        <v>18858.63285</v>
      </c>
      <c r="DC45" s="54">
        <f t="shared" si="8"/>
        <v>18947.89704</v>
      </c>
      <c r="DD45" s="54">
        <f t="shared" si="8"/>
        <v>19037.58376</v>
      </c>
      <c r="DE45" s="54">
        <f t="shared" si="8"/>
        <v>19127.69499</v>
      </c>
      <c r="DF45" s="54">
        <f t="shared" si="8"/>
        <v>19218.23274</v>
      </c>
      <c r="DG45" s="54">
        <f t="shared" si="8"/>
        <v>19309.19904</v>
      </c>
      <c r="DH45" s="54">
        <f t="shared" si="8"/>
        <v>19400.59592</v>
      </c>
      <c r="DI45" s="54">
        <f t="shared" si="8"/>
        <v>19492.42541</v>
      </c>
      <c r="DJ45" s="54">
        <f t="shared" si="8"/>
        <v>19584.68955</v>
      </c>
      <c r="DK45" s="54">
        <f t="shared" si="8"/>
        <v>19677.39042</v>
      </c>
      <c r="DL45" s="54">
        <f t="shared" si="8"/>
        <v>19770.53007</v>
      </c>
      <c r="DM45" s="54">
        <f t="shared" si="8"/>
        <v>19864.11057</v>
      </c>
      <c r="DN45" s="54">
        <f t="shared" si="8"/>
        <v>19958.13403</v>
      </c>
      <c r="DO45" s="54">
        <f t="shared" si="8"/>
        <v>20052.60253</v>
      </c>
      <c r="DP45" s="54">
        <f t="shared" si="8"/>
        <v>20147.51818</v>
      </c>
      <c r="DQ45" s="54">
        <f t="shared" si="8"/>
        <v>20242.8831</v>
      </c>
      <c r="DR45" s="54">
        <f t="shared" si="8"/>
        <v>20338.69942</v>
      </c>
      <c r="DS45" s="54">
        <f t="shared" si="8"/>
        <v>20434.96926</v>
      </c>
      <c r="DT45" s="54">
        <f t="shared" si="8"/>
        <v>20531.69478</v>
      </c>
      <c r="DU45" s="54">
        <f t="shared" si="8"/>
        <v>20628.87814</v>
      </c>
      <c r="DV45" s="54">
        <f t="shared" si="8"/>
        <v>20726.52149</v>
      </c>
      <c r="DW45" s="54">
        <f t="shared" si="8"/>
        <v>20824.62703</v>
      </c>
      <c r="DX45" s="54">
        <f t="shared" si="8"/>
        <v>20923.19693</v>
      </c>
      <c r="DY45" s="54">
        <f t="shared" si="8"/>
        <v>21022.2334</v>
      </c>
      <c r="DZ45" s="54">
        <f t="shared" si="8"/>
        <v>21121.73863</v>
      </c>
      <c r="EA45" s="54">
        <f t="shared" si="8"/>
        <v>21221.71486</v>
      </c>
      <c r="EB45" s="54">
        <f t="shared" si="8"/>
        <v>21322.16431</v>
      </c>
      <c r="EC45" s="54">
        <f t="shared" si="8"/>
        <v>21423.08923</v>
      </c>
      <c r="ED45" s="54">
        <f t="shared" si="8"/>
        <v>21524.49185</v>
      </c>
      <c r="EE45" s="54">
        <f t="shared" si="8"/>
        <v>21626.37444</v>
      </c>
    </row>
    <row r="46" ht="15.75" customHeight="1">
      <c r="A46" s="1"/>
      <c r="B46" s="1"/>
      <c r="C46" s="1" t="s">
        <v>197</v>
      </c>
      <c r="D46" s="54">
        <f>-PMT(Assumptions!$AF44/12,Assumptions!$AF45*12,Assumptions!$AF42)*IF(D1&gt;Assumptions!$AF$47,1,0)</f>
        <v>0</v>
      </c>
      <c r="E46" s="54">
        <f>-PMT(Assumptions!$AF44/12,Assumptions!$AF45*12,Assumptions!$AF42)*IF(E1&gt;Assumptions!$AF$47,1,0)</f>
        <v>0</v>
      </c>
      <c r="F46" s="54">
        <f>-PMT(Assumptions!$AF44/12,Assumptions!$AF45*12,Assumptions!$AF42)*IF(F1&gt;Assumptions!$AF$47,1,0)</f>
        <v>0</v>
      </c>
      <c r="G46" s="54">
        <f>-PMT(Assumptions!$AF44/12,Assumptions!$AF45*12,Assumptions!$AF42)*IF(G1&gt;Assumptions!$AF$47,1,0)</f>
        <v>0</v>
      </c>
      <c r="H46" s="54">
        <f>-PMT(Assumptions!$AF44/12,Assumptions!$AF45*12,Assumptions!$AF42)*IF(H1&gt;Assumptions!$AF$47,1,0)</f>
        <v>0</v>
      </c>
      <c r="I46" s="54">
        <f>-PMT(Assumptions!$AF44/12,Assumptions!$AF45*12,Assumptions!$AF42)*IF(I1&gt;Assumptions!$AF$47,1,0)</f>
        <v>0</v>
      </c>
      <c r="J46" s="54">
        <f>-PMT(Assumptions!$AF44/12,Assumptions!$AF45*12,Assumptions!$AF42)*IF(J1&gt;Assumptions!$AF$47,1,0)</f>
        <v>0</v>
      </c>
      <c r="K46" s="54">
        <f>-PMT(Assumptions!$AF44/12,Assumptions!$AF45*12,Assumptions!$AF42)*IF(K1&gt;Assumptions!$AF$47,1,0)</f>
        <v>0</v>
      </c>
      <c r="L46" s="54">
        <f>-PMT(Assumptions!$AF44/12,Assumptions!$AF45*12,Assumptions!$AF42)*IF(L1&gt;Assumptions!$AF$47,1,0)</f>
        <v>0</v>
      </c>
      <c r="M46" s="54">
        <f>-PMT(Assumptions!$AF44/12,Assumptions!$AF45*12,Assumptions!$AF42)*IF(M1&gt;Assumptions!$AF$47,1,0)</f>
        <v>0</v>
      </c>
      <c r="N46" s="54">
        <f>-PMT(Assumptions!$AF44/12,Assumptions!$AF45*12,Assumptions!$AF42)*IF(N1&gt;Assumptions!$AF$47,1,0)</f>
        <v>0</v>
      </c>
      <c r="O46" s="54">
        <f>-PMT(Assumptions!$AF44/12,Assumptions!$AF45*12,Assumptions!$AF42)*IF(O1&gt;Assumptions!$AF$47,1,0)</f>
        <v>0</v>
      </c>
      <c r="P46" s="54">
        <f>-PMT(Assumptions!$AF44/12,Assumptions!$AF45*12,Assumptions!$AF42)*IF(P1&gt;Assumptions!$AF$47,1,0)</f>
        <v>0</v>
      </c>
      <c r="Q46" s="54">
        <f>-PMT(Assumptions!$AF44/12,Assumptions!$AF45*12,Assumptions!$AF42)*IF(Q1&gt;Assumptions!$AF$47,1,0)</f>
        <v>0</v>
      </c>
      <c r="R46" s="54">
        <f>-PMT(Assumptions!$AF44/12,Assumptions!$AF45*12,Assumptions!$AF42)*IF(R1&gt;Assumptions!$AF$47,1,0)</f>
        <v>0</v>
      </c>
      <c r="S46" s="54">
        <f>-PMT(Assumptions!$AF44/12,Assumptions!$AF45*12,Assumptions!$AF42)*IF(S1&gt;Assumptions!$AF$47,1,0)</f>
        <v>0</v>
      </c>
      <c r="T46" s="54">
        <f>-PMT(Assumptions!$AF44/12,Assumptions!$AF45*12,Assumptions!$AF42)*IF(T1&gt;Assumptions!$AF$47,1,0)</f>
        <v>0</v>
      </c>
      <c r="U46" s="54">
        <f>-PMT(Assumptions!$AF44/12,Assumptions!$AF45*12,Assumptions!$AF42)*IF(U1&gt;Assumptions!$AF$47,1,0)</f>
        <v>0</v>
      </c>
      <c r="V46" s="54">
        <f>-PMT(Assumptions!$AF44/12,Assumptions!$AF45*12,Assumptions!$AF42)*IF(V1&gt;Assumptions!$AF$47,1,0)</f>
        <v>0</v>
      </c>
      <c r="W46" s="54">
        <f>-PMT(Assumptions!$AF44/12,Assumptions!$AF45*12,Assumptions!$AF42)*IF(W1&gt;Assumptions!$AF$47,1,0)</f>
        <v>0</v>
      </c>
      <c r="X46" s="54">
        <f>-PMT(Assumptions!$AF44/12,Assumptions!$AF45*12,Assumptions!$AF42)*IF(X1&gt;Assumptions!$AF$47,1,0)</f>
        <v>0</v>
      </c>
      <c r="Y46" s="54">
        <f>-PMT(Assumptions!$AF44/12,Assumptions!$AF45*12,Assumptions!$AF42)*IF(Y1&gt;Assumptions!$AF$47,1,0)</f>
        <v>0</v>
      </c>
      <c r="Z46" s="54">
        <f>-PMT(Assumptions!$AF44/12,Assumptions!$AF45*12,Assumptions!$AF42)*IF(Z1&gt;Assumptions!$AF$47,1,0)</f>
        <v>0</v>
      </c>
      <c r="AA46" s="54">
        <f>-PMT(Assumptions!$AF44/12,Assumptions!$AF45*12,Assumptions!$AF42)*IF(AA1&gt;Assumptions!$AF$47,1,0)</f>
        <v>0</v>
      </c>
      <c r="AB46" s="54">
        <f>-PMT(Assumptions!$AF44/12,Assumptions!$AF45*12,Assumptions!$AF42)*IF(AB1&gt;Assumptions!$AF$47,1,0)</f>
        <v>0</v>
      </c>
      <c r="AC46" s="54">
        <f>-PMT(Assumptions!$AF44/12,Assumptions!$AF45*12,Assumptions!$AF42)*IF(AC1&gt;Assumptions!$AF$47,1,0)</f>
        <v>0</v>
      </c>
      <c r="AD46" s="54">
        <f>-PMT(Assumptions!$AF44/12,Assumptions!$AF45*12,Assumptions!$AF42)*IF(AD1&gt;Assumptions!$AF$47,1,0)</f>
        <v>0</v>
      </c>
      <c r="AE46" s="54">
        <f>-PMT(Assumptions!$AF44/12,Assumptions!$AF45*12,Assumptions!$AF42)*IF(AE1&gt;Assumptions!$AF$47,1,0)</f>
        <v>0</v>
      </c>
      <c r="AF46" s="54">
        <f>-PMT(Assumptions!$AF44/12,Assumptions!$AF45*12,Assumptions!$AF42)*IF(AF1&gt;Assumptions!$AF$47,1,0)</f>
        <v>0</v>
      </c>
      <c r="AG46" s="54">
        <f>-PMT(Assumptions!$AF44/12,Assumptions!$AF45*12,Assumptions!$AF42)*IF(AG1&gt;Assumptions!$AF$47,1,0)</f>
        <v>0</v>
      </c>
      <c r="AH46" s="54">
        <f>-PMT(Assumptions!$AF44/12,Assumptions!$AF45*12,Assumptions!$AF42)*IF(AH1&gt;Assumptions!$AF$47,1,0)</f>
        <v>0</v>
      </c>
      <c r="AI46" s="54">
        <f>-PMT(Assumptions!$AF44/12,Assumptions!$AF45*12,Assumptions!$AF42)*IF(AI1&gt;Assumptions!$AF$47,1,0)</f>
        <v>0</v>
      </c>
      <c r="AJ46" s="54">
        <f>-PMT(Assumptions!$AF44/12,Assumptions!$AF45*12,Assumptions!$AF42)*IF(AJ1&gt;Assumptions!$AF$47,1,0)</f>
        <v>0</v>
      </c>
      <c r="AK46" s="54">
        <f>-PMT(Assumptions!$AF44/12,Assumptions!$AF45*12,Assumptions!$AF42)*IF(AK1&gt;Assumptions!$AF$47,1,0)</f>
        <v>0</v>
      </c>
      <c r="AL46" s="54">
        <f>-PMT(Assumptions!$AF44/12,Assumptions!$AF45*12,Assumptions!$AF42)*IF(AL1&gt;Assumptions!$AF$47,1,0)</f>
        <v>0</v>
      </c>
      <c r="AM46" s="54">
        <f>-PMT(Assumptions!$AF44/12,Assumptions!$AF45*12,Assumptions!$AF42)*IF(AM1&gt;Assumptions!$AF$47,1,0)</f>
        <v>0</v>
      </c>
      <c r="AN46" s="54">
        <f>-PMT(Assumptions!$AF44/12,Assumptions!$AF45*12,Assumptions!$AF42)*IF(AN1&gt;Assumptions!$AF$47,1,0)</f>
        <v>75587.25525</v>
      </c>
      <c r="AO46" s="54">
        <f>-PMT(Assumptions!$AF44/12,Assumptions!$AF45*12,Assumptions!$AF42)*IF(AO1&gt;Assumptions!$AF$47,1,0)</f>
        <v>75587.25525</v>
      </c>
      <c r="AP46" s="54">
        <f>-PMT(Assumptions!$AF44/12,Assumptions!$AF45*12,Assumptions!$AF42)*IF(AP1&gt;Assumptions!$AF$47,1,0)</f>
        <v>75587.25525</v>
      </c>
      <c r="AQ46" s="54">
        <f>-PMT(Assumptions!$AF44/12,Assumptions!$AF45*12,Assumptions!$AF42)*IF(AQ1&gt;Assumptions!$AF$47,1,0)</f>
        <v>75587.25525</v>
      </c>
      <c r="AR46" s="54">
        <f>-PMT(Assumptions!$AF44/12,Assumptions!$AF45*12,Assumptions!$AF42)*IF(AR1&gt;Assumptions!$AF$47,1,0)</f>
        <v>75587.25525</v>
      </c>
      <c r="AS46" s="54">
        <f>-PMT(Assumptions!$AF44/12,Assumptions!$AF45*12,Assumptions!$AF42)*IF(AS1&gt;Assumptions!$AF$47,1,0)</f>
        <v>75587.25525</v>
      </c>
      <c r="AT46" s="54">
        <f>-PMT(Assumptions!$AF44/12,Assumptions!$AF45*12,Assumptions!$AF42)*IF(AT1&gt;Assumptions!$AF$47,1,0)</f>
        <v>75587.25525</v>
      </c>
      <c r="AU46" s="54">
        <f>-PMT(Assumptions!$AF44/12,Assumptions!$AF45*12,Assumptions!$AF42)*IF(AU1&gt;Assumptions!$AF$47,1,0)</f>
        <v>75587.25525</v>
      </c>
      <c r="AV46" s="54">
        <f>-PMT(Assumptions!$AF44/12,Assumptions!$AF45*12,Assumptions!$AF42)*IF(AV1&gt;Assumptions!$AF$47,1,0)</f>
        <v>75587.25525</v>
      </c>
      <c r="AW46" s="54">
        <f>-PMT(Assumptions!$AF44/12,Assumptions!$AF45*12,Assumptions!$AF42)*IF(AW1&gt;Assumptions!$AF$47,1,0)</f>
        <v>75587.25525</v>
      </c>
      <c r="AX46" s="54">
        <f>-PMT(Assumptions!$AF44/12,Assumptions!$AF45*12,Assumptions!$AF42)*IF(AX1&gt;Assumptions!$AF$47,1,0)</f>
        <v>75587.25525</v>
      </c>
      <c r="AY46" s="54">
        <f>-PMT(Assumptions!$AF44/12,Assumptions!$AF45*12,Assumptions!$AF42)*IF(AY1&gt;Assumptions!$AF$47,1,0)</f>
        <v>75587.25525</v>
      </c>
      <c r="AZ46" s="54">
        <f>-PMT(Assumptions!$AF44/12,Assumptions!$AF45*12,Assumptions!$AF42)*IF(AZ1&gt;Assumptions!$AF$47,1,0)</f>
        <v>75587.25525</v>
      </c>
      <c r="BA46" s="54">
        <f>-PMT(Assumptions!$AF44/12,Assumptions!$AF45*12,Assumptions!$AF42)*IF(BA1&gt;Assumptions!$AF$47,1,0)</f>
        <v>75587.25525</v>
      </c>
      <c r="BB46" s="54">
        <f>-PMT(Assumptions!$AF44/12,Assumptions!$AF45*12,Assumptions!$AF42)*IF(BB1&gt;Assumptions!$AF$47,1,0)</f>
        <v>75587.25525</v>
      </c>
      <c r="BC46" s="54">
        <f>-PMT(Assumptions!$AF44/12,Assumptions!$AF45*12,Assumptions!$AF42)*IF(BC1&gt;Assumptions!$AF$47,1,0)</f>
        <v>75587.25525</v>
      </c>
      <c r="BD46" s="54">
        <f>-PMT(Assumptions!$AF44/12,Assumptions!$AF45*12,Assumptions!$AF42)*IF(BD1&gt;Assumptions!$AF$47,1,0)</f>
        <v>75587.25525</v>
      </c>
      <c r="BE46" s="54">
        <f>-PMT(Assumptions!$AF44/12,Assumptions!$AF45*12,Assumptions!$AF42)*IF(BE1&gt;Assumptions!$AF$47,1,0)</f>
        <v>75587.25525</v>
      </c>
      <c r="BF46" s="54">
        <f>-PMT(Assumptions!$AF44/12,Assumptions!$AF45*12,Assumptions!$AF42)*IF(BF1&gt;Assumptions!$AF$47,1,0)</f>
        <v>75587.25525</v>
      </c>
      <c r="BG46" s="54">
        <f>-PMT(Assumptions!$AF44/12,Assumptions!$AF45*12,Assumptions!$AF42)*IF(BG1&gt;Assumptions!$AF$47,1,0)</f>
        <v>75587.25525</v>
      </c>
      <c r="BH46" s="54">
        <f>-PMT(Assumptions!$AF44/12,Assumptions!$AF45*12,Assumptions!$AF42)*IF(BH1&gt;Assumptions!$AF$47,1,0)</f>
        <v>75587.25525</v>
      </c>
      <c r="BI46" s="54">
        <f>-PMT(Assumptions!$AF44/12,Assumptions!$AF45*12,Assumptions!$AF42)*IF(BI1&gt;Assumptions!$AF$47,1,0)</f>
        <v>75587.25525</v>
      </c>
      <c r="BJ46" s="54">
        <f>-PMT(Assumptions!$AF44/12,Assumptions!$AF45*12,Assumptions!$AF42)*IF(BJ1&gt;Assumptions!$AF$47,1,0)</f>
        <v>75587.25525</v>
      </c>
      <c r="BK46" s="54">
        <f>-PMT(Assumptions!$AF44/12,Assumptions!$AF45*12,Assumptions!$AF42)*IF(BK1&gt;Assumptions!$AF$47,1,0)</f>
        <v>75587.25525</v>
      </c>
      <c r="BL46" s="54">
        <f>-PMT(Assumptions!$AF44/12,Assumptions!$AF45*12,Assumptions!$AF42)*IF(BL1&gt;Assumptions!$AF$47,1,0)</f>
        <v>75587.25525</v>
      </c>
      <c r="BM46" s="54">
        <f>-PMT(Assumptions!$AF44/12,Assumptions!$AF45*12,Assumptions!$AF42)*IF(BM1&gt;Assumptions!$AF$47,1,0)</f>
        <v>75587.25525</v>
      </c>
      <c r="BN46" s="54">
        <f>-PMT(Assumptions!$AF44/12,Assumptions!$AF45*12,Assumptions!$AF42)*IF(BN1&gt;Assumptions!$AF$47,1,0)</f>
        <v>75587.25525</v>
      </c>
      <c r="BO46" s="54">
        <f>-PMT(Assumptions!$AF44/12,Assumptions!$AF45*12,Assumptions!$AF42)*IF(BO1&gt;Assumptions!$AF$47,1,0)</f>
        <v>75587.25525</v>
      </c>
      <c r="BP46" s="54">
        <f>-PMT(Assumptions!$AF44/12,Assumptions!$AF45*12,Assumptions!$AF42)*IF(BP1&gt;Assumptions!$AF$47,1,0)</f>
        <v>75587.25525</v>
      </c>
      <c r="BQ46" s="54">
        <f>-PMT(Assumptions!$AF44/12,Assumptions!$AF45*12,Assumptions!$AF42)*IF(BQ1&gt;Assumptions!$AF$47,1,0)</f>
        <v>75587.25525</v>
      </c>
      <c r="BR46" s="54">
        <f>-PMT(Assumptions!$AF44/12,Assumptions!$AF45*12,Assumptions!$AF42)*IF(BR1&gt;Assumptions!$AF$47,1,0)</f>
        <v>75587.25525</v>
      </c>
      <c r="BS46" s="54">
        <f>-PMT(Assumptions!$AF44/12,Assumptions!$AF45*12,Assumptions!$AF42)*IF(BS1&gt;Assumptions!$AF$47,1,0)</f>
        <v>75587.25525</v>
      </c>
      <c r="BT46" s="54">
        <f>-PMT(Assumptions!$AF44/12,Assumptions!$AF45*12,Assumptions!$AF42)*IF(BT1&gt;Assumptions!$AF$47,1,0)</f>
        <v>75587.25525</v>
      </c>
      <c r="BU46" s="54">
        <f>-PMT(Assumptions!$AF44/12,Assumptions!$AF45*12,Assumptions!$AF42)*IF(BU1&gt;Assumptions!$AF$47,1,0)</f>
        <v>75587.25525</v>
      </c>
      <c r="BV46" s="54">
        <f>-PMT(Assumptions!$AF44/12,Assumptions!$AF45*12,Assumptions!$AF42)*IF(BV1&gt;Assumptions!$AF$47,1,0)</f>
        <v>75587.25525</v>
      </c>
      <c r="BW46" s="54">
        <f>-PMT(Assumptions!$AF44/12,Assumptions!$AF45*12,Assumptions!$AF42)*IF(BW1&gt;Assumptions!$AF$47,1,0)</f>
        <v>75587.25525</v>
      </c>
      <c r="BX46" s="54">
        <f>-PMT(Assumptions!$AF44/12,Assumptions!$AF45*12,Assumptions!$AF42)*IF(BX1&gt;Assumptions!$AF$47,1,0)</f>
        <v>75587.25525</v>
      </c>
      <c r="BY46" s="54">
        <f>-PMT(Assumptions!$AF44/12,Assumptions!$AF45*12,Assumptions!$AF42)*IF(BY1&gt;Assumptions!$AF$47,1,0)</f>
        <v>75587.25525</v>
      </c>
      <c r="BZ46" s="54">
        <f>-PMT(Assumptions!$AF44/12,Assumptions!$AF45*12,Assumptions!$AF42)*IF(BZ1&gt;Assumptions!$AF$47,1,0)</f>
        <v>75587.25525</v>
      </c>
      <c r="CA46" s="54">
        <f>-PMT(Assumptions!$AF44/12,Assumptions!$AF45*12,Assumptions!$AF42)*IF(CA1&gt;Assumptions!$AF$47,1,0)</f>
        <v>75587.25525</v>
      </c>
      <c r="CB46" s="54">
        <f>-PMT(Assumptions!$AF44/12,Assumptions!$AF45*12,Assumptions!$AF42)*IF(CB1&gt;Assumptions!$AF$47,1,0)</f>
        <v>75587.25525</v>
      </c>
      <c r="CC46" s="54">
        <f>-PMT(Assumptions!$AF44/12,Assumptions!$AF45*12,Assumptions!$AF42)*IF(CC1&gt;Assumptions!$AF$47,1,0)</f>
        <v>75587.25525</v>
      </c>
      <c r="CD46" s="54">
        <f>-PMT(Assumptions!$AF44/12,Assumptions!$AF45*12,Assumptions!$AF42)*IF(CD1&gt;Assumptions!$AF$47,1,0)</f>
        <v>75587.25525</v>
      </c>
      <c r="CE46" s="54">
        <f>-PMT(Assumptions!$AF44/12,Assumptions!$AF45*12,Assumptions!$AF42)*IF(CE1&gt;Assumptions!$AF$47,1,0)</f>
        <v>75587.25525</v>
      </c>
      <c r="CF46" s="54">
        <f>-PMT(Assumptions!$AF44/12,Assumptions!$AF45*12,Assumptions!$AF42)*IF(CF1&gt;Assumptions!$AF$47,1,0)</f>
        <v>75587.25525</v>
      </c>
      <c r="CG46" s="54">
        <f>-PMT(Assumptions!$AF44/12,Assumptions!$AF45*12,Assumptions!$AF42)*IF(CG1&gt;Assumptions!$AF$47,1,0)</f>
        <v>75587.25525</v>
      </c>
      <c r="CH46" s="54">
        <f>-PMT(Assumptions!$AF44/12,Assumptions!$AF45*12,Assumptions!$AF42)*IF(CH1&gt;Assumptions!$AF$47,1,0)</f>
        <v>75587.25525</v>
      </c>
      <c r="CI46" s="54">
        <f>-PMT(Assumptions!$AF44/12,Assumptions!$AF45*12,Assumptions!$AF42)*IF(CI1&gt;Assumptions!$AF$47,1,0)</f>
        <v>75587.25525</v>
      </c>
      <c r="CJ46" s="54">
        <f>-PMT(Assumptions!$AF44/12,Assumptions!$AF45*12,Assumptions!$AF42)*IF(CJ1&gt;Assumptions!$AF$47,1,0)</f>
        <v>75587.25525</v>
      </c>
      <c r="CK46" s="54">
        <f>-PMT(Assumptions!$AF44/12,Assumptions!$AF45*12,Assumptions!$AF42)*IF(CK1&gt;Assumptions!$AF$47,1,0)</f>
        <v>75587.25525</v>
      </c>
      <c r="CL46" s="54">
        <f>-PMT(Assumptions!$AF44/12,Assumptions!$AF45*12,Assumptions!$AF42)*IF(CL1&gt;Assumptions!$AF$47,1,0)</f>
        <v>75587.25525</v>
      </c>
      <c r="CM46" s="54">
        <f>-PMT(Assumptions!$AF44/12,Assumptions!$AF45*12,Assumptions!$AF42)*IF(CM1&gt;Assumptions!$AF$47,1,0)</f>
        <v>75587.25525</v>
      </c>
      <c r="CN46" s="54">
        <f>-PMT(Assumptions!$AF44/12,Assumptions!$AF45*12,Assumptions!$AF42)*IF(CN1&gt;Assumptions!$AF$47,1,0)</f>
        <v>75587.25525</v>
      </c>
      <c r="CO46" s="54">
        <f>-PMT(Assumptions!$AF44/12,Assumptions!$AF45*12,Assumptions!$AF42)*IF(CO1&gt;Assumptions!$AF$47,1,0)</f>
        <v>75587.25525</v>
      </c>
      <c r="CP46" s="54">
        <f>-PMT(Assumptions!$AF44/12,Assumptions!$AF45*12,Assumptions!$AF42)*IF(CP1&gt;Assumptions!$AF$47,1,0)</f>
        <v>75587.25525</v>
      </c>
      <c r="CQ46" s="54">
        <f>-PMT(Assumptions!$AF44/12,Assumptions!$AF45*12,Assumptions!$AF42)*IF(CQ1&gt;Assumptions!$AF$47,1,0)</f>
        <v>75587.25525</v>
      </c>
      <c r="CR46" s="54">
        <f>-PMT(Assumptions!$AF44/12,Assumptions!$AF45*12,Assumptions!$AF42)*IF(CR1&gt;Assumptions!$AF$47,1,0)</f>
        <v>75587.25525</v>
      </c>
      <c r="CS46" s="54">
        <f>-PMT(Assumptions!$AF44/12,Assumptions!$AF45*12,Assumptions!$AF42)*IF(CS1&gt;Assumptions!$AF$47,1,0)</f>
        <v>75587.25525</v>
      </c>
      <c r="CT46" s="54">
        <f>-PMT(Assumptions!$AF44/12,Assumptions!$AF45*12,Assumptions!$AF42)*IF(CT1&gt;Assumptions!$AF$47,1,0)</f>
        <v>75587.25525</v>
      </c>
      <c r="CU46" s="54">
        <f>-PMT(Assumptions!$AF44/12,Assumptions!$AF45*12,Assumptions!$AF42)*IF(CU1&gt;Assumptions!$AF$47,1,0)</f>
        <v>75587.25525</v>
      </c>
      <c r="CV46" s="54">
        <f>-PMT(Assumptions!$AF44/12,Assumptions!$AF45*12,Assumptions!$AF42)*IF(CV1&gt;Assumptions!$AF$47,1,0)</f>
        <v>75587.25525</v>
      </c>
      <c r="CW46" s="54">
        <f>-PMT(Assumptions!$AF44/12,Assumptions!$AF45*12,Assumptions!$AF42)*IF(CW1&gt;Assumptions!$AF$47,1,0)</f>
        <v>75587.25525</v>
      </c>
      <c r="CX46" s="54">
        <f>-PMT(Assumptions!$AF44/12,Assumptions!$AF45*12,Assumptions!$AF42)*IF(CX1&gt;Assumptions!$AF$47,1,0)</f>
        <v>75587.25525</v>
      </c>
      <c r="CY46" s="54">
        <f>-PMT(Assumptions!$AF44/12,Assumptions!$AF45*12,Assumptions!$AF42)*IF(CY1&gt;Assumptions!$AF$47,1,0)</f>
        <v>75587.25525</v>
      </c>
      <c r="CZ46" s="54">
        <f>-PMT(Assumptions!$AF44/12,Assumptions!$AF45*12,Assumptions!$AF42)*IF(CZ1&gt;Assumptions!$AF$47,1,0)</f>
        <v>75587.25525</v>
      </c>
      <c r="DA46" s="54">
        <f>-PMT(Assumptions!$AF44/12,Assumptions!$AF45*12,Assumptions!$AF42)*IF(DA1&gt;Assumptions!$AF$47,1,0)</f>
        <v>75587.25525</v>
      </c>
      <c r="DB46" s="54">
        <f>-PMT(Assumptions!$AF44/12,Assumptions!$AF45*12,Assumptions!$AF42)*IF(DB1&gt;Assumptions!$AF$47,1,0)</f>
        <v>75587.25525</v>
      </c>
      <c r="DC46" s="54">
        <f>-PMT(Assumptions!$AF44/12,Assumptions!$AF45*12,Assumptions!$AF42)*IF(DC1&gt;Assumptions!$AF$47,1,0)</f>
        <v>75587.25525</v>
      </c>
      <c r="DD46" s="54">
        <f>-PMT(Assumptions!$AF44/12,Assumptions!$AF45*12,Assumptions!$AF42)*IF(DD1&gt;Assumptions!$AF$47,1,0)</f>
        <v>75587.25525</v>
      </c>
      <c r="DE46" s="54">
        <f>-PMT(Assumptions!$AF44/12,Assumptions!$AF45*12,Assumptions!$AF42)*IF(DE1&gt;Assumptions!$AF$47,1,0)</f>
        <v>75587.25525</v>
      </c>
      <c r="DF46" s="54">
        <f>-PMT(Assumptions!$AF44/12,Assumptions!$AF45*12,Assumptions!$AF42)*IF(DF1&gt;Assumptions!$AF$47,1,0)</f>
        <v>75587.25525</v>
      </c>
      <c r="DG46" s="54">
        <f>-PMT(Assumptions!$AF44/12,Assumptions!$AF45*12,Assumptions!$AF42)*IF(DG1&gt;Assumptions!$AF$47,1,0)</f>
        <v>75587.25525</v>
      </c>
      <c r="DH46" s="54">
        <f>-PMT(Assumptions!$AF44/12,Assumptions!$AF45*12,Assumptions!$AF42)*IF(DH1&gt;Assumptions!$AF$47,1,0)</f>
        <v>75587.25525</v>
      </c>
      <c r="DI46" s="54">
        <f>-PMT(Assumptions!$AF44/12,Assumptions!$AF45*12,Assumptions!$AF42)*IF(DI1&gt;Assumptions!$AF$47,1,0)</f>
        <v>75587.25525</v>
      </c>
      <c r="DJ46" s="54">
        <f>-PMT(Assumptions!$AF44/12,Assumptions!$AF45*12,Assumptions!$AF42)*IF(DJ1&gt;Assumptions!$AF$47,1,0)</f>
        <v>75587.25525</v>
      </c>
      <c r="DK46" s="54">
        <f>-PMT(Assumptions!$AF44/12,Assumptions!$AF45*12,Assumptions!$AF42)*IF(DK1&gt;Assumptions!$AF$47,1,0)</f>
        <v>75587.25525</v>
      </c>
      <c r="DL46" s="54">
        <f>-PMT(Assumptions!$AF44/12,Assumptions!$AF45*12,Assumptions!$AF42)*IF(DL1&gt;Assumptions!$AF$47,1,0)</f>
        <v>75587.25525</v>
      </c>
      <c r="DM46" s="54">
        <f>-PMT(Assumptions!$AF44/12,Assumptions!$AF45*12,Assumptions!$AF42)*IF(DM1&gt;Assumptions!$AF$47,1,0)</f>
        <v>75587.25525</v>
      </c>
      <c r="DN46" s="54">
        <f>-PMT(Assumptions!$AF44/12,Assumptions!$AF45*12,Assumptions!$AF42)*IF(DN1&gt;Assumptions!$AF$47,1,0)</f>
        <v>75587.25525</v>
      </c>
      <c r="DO46" s="54">
        <f>-PMT(Assumptions!$AF44/12,Assumptions!$AF45*12,Assumptions!$AF42)*IF(DO1&gt;Assumptions!$AF$47,1,0)</f>
        <v>75587.25525</v>
      </c>
      <c r="DP46" s="54">
        <f>-PMT(Assumptions!$AF44/12,Assumptions!$AF45*12,Assumptions!$AF42)*IF(DP1&gt;Assumptions!$AF$47,1,0)</f>
        <v>75587.25525</v>
      </c>
      <c r="DQ46" s="54">
        <f>-PMT(Assumptions!$AF44/12,Assumptions!$AF45*12,Assumptions!$AF42)*IF(DQ1&gt;Assumptions!$AF$47,1,0)</f>
        <v>75587.25525</v>
      </c>
      <c r="DR46" s="54">
        <f>-PMT(Assumptions!$AF44/12,Assumptions!$AF45*12,Assumptions!$AF42)*IF(DR1&gt;Assumptions!$AF$47,1,0)</f>
        <v>75587.25525</v>
      </c>
      <c r="DS46" s="54">
        <f>-PMT(Assumptions!$AF44/12,Assumptions!$AF45*12,Assumptions!$AF42)*IF(DS1&gt;Assumptions!$AF$47,1,0)</f>
        <v>75587.25525</v>
      </c>
      <c r="DT46" s="54">
        <f>-PMT(Assumptions!$AF44/12,Assumptions!$AF45*12,Assumptions!$AF42)*IF(DT1&gt;Assumptions!$AF$47,1,0)</f>
        <v>75587.25525</v>
      </c>
      <c r="DU46" s="54">
        <f>-PMT(Assumptions!$AF44/12,Assumptions!$AF45*12,Assumptions!$AF42)*IF(DU1&gt;Assumptions!$AF$47,1,0)</f>
        <v>75587.25525</v>
      </c>
      <c r="DV46" s="54">
        <f>-PMT(Assumptions!$AF44/12,Assumptions!$AF45*12,Assumptions!$AF42)*IF(DV1&gt;Assumptions!$AF$47,1,0)</f>
        <v>75587.25525</v>
      </c>
      <c r="DW46" s="54">
        <f>-PMT(Assumptions!$AF44/12,Assumptions!$AF45*12,Assumptions!$AF42)*IF(DW1&gt;Assumptions!$AF$47,1,0)</f>
        <v>75587.25525</v>
      </c>
      <c r="DX46" s="54">
        <f>-PMT(Assumptions!$AF44/12,Assumptions!$AF45*12,Assumptions!$AF42)*IF(DX1&gt;Assumptions!$AF$47,1,0)</f>
        <v>75587.25525</v>
      </c>
      <c r="DY46" s="54">
        <f>-PMT(Assumptions!$AF44/12,Assumptions!$AF45*12,Assumptions!$AF42)*IF(DY1&gt;Assumptions!$AF$47,1,0)</f>
        <v>75587.25525</v>
      </c>
      <c r="DZ46" s="54">
        <f>-PMT(Assumptions!$AF44/12,Assumptions!$AF45*12,Assumptions!$AF42)*IF(DZ1&gt;Assumptions!$AF$47,1,0)</f>
        <v>75587.25525</v>
      </c>
      <c r="EA46" s="54">
        <f>-PMT(Assumptions!$AF44/12,Assumptions!$AF45*12,Assumptions!$AF42)*IF(EA1&gt;Assumptions!$AF$47,1,0)</f>
        <v>75587.25525</v>
      </c>
      <c r="EB46" s="54">
        <f>-PMT(Assumptions!$AF44/12,Assumptions!$AF45*12,Assumptions!$AF42)*IF(EB1&gt;Assumptions!$AF$47,1,0)</f>
        <v>75587.25525</v>
      </c>
      <c r="EC46" s="54">
        <f>-PMT(Assumptions!$AF44/12,Assumptions!$AF45*12,Assumptions!$AF42)*IF(EC1&gt;Assumptions!$AF$47,1,0)</f>
        <v>75587.25525</v>
      </c>
      <c r="ED46" s="54">
        <f>-PMT(Assumptions!$AF44/12,Assumptions!$AF45*12,Assumptions!$AF42)*IF(ED1&gt;Assumptions!$AF$47,1,0)</f>
        <v>75587.25525</v>
      </c>
      <c r="EE46" s="54">
        <f>-PMT(Assumptions!$AF44/12,Assumptions!$AF45*12,Assumptions!$AF42)*IF(EE1&gt;Assumptions!$AF$47,1,0)</f>
        <v>75587.25525</v>
      </c>
    </row>
    <row r="47" ht="15.75" customHeight="1">
      <c r="A47" s="1"/>
      <c r="B47" s="1"/>
      <c r="C47" s="1" t="s">
        <v>174</v>
      </c>
      <c r="D47" s="54">
        <f t="shared" ref="D47:EE47" si="9">D43-D45</f>
        <v>13051781.25</v>
      </c>
      <c r="E47" s="54">
        <f t="shared" si="9"/>
        <v>13051781.25</v>
      </c>
      <c r="F47" s="54">
        <f t="shared" si="9"/>
        <v>13051781.25</v>
      </c>
      <c r="G47" s="54">
        <f t="shared" si="9"/>
        <v>13051781.25</v>
      </c>
      <c r="H47" s="54">
        <f t="shared" si="9"/>
        <v>13051781.25</v>
      </c>
      <c r="I47" s="54">
        <f t="shared" si="9"/>
        <v>13051781.25</v>
      </c>
      <c r="J47" s="54">
        <f t="shared" si="9"/>
        <v>13051781.25</v>
      </c>
      <c r="K47" s="54">
        <f t="shared" si="9"/>
        <v>13051781.25</v>
      </c>
      <c r="L47" s="54">
        <f t="shared" si="9"/>
        <v>13051781.25</v>
      </c>
      <c r="M47" s="54">
        <f t="shared" si="9"/>
        <v>13051781.25</v>
      </c>
      <c r="N47" s="54">
        <f t="shared" si="9"/>
        <v>13051781.25</v>
      </c>
      <c r="O47" s="54">
        <f t="shared" si="9"/>
        <v>13051781.25</v>
      </c>
      <c r="P47" s="54">
        <f t="shared" si="9"/>
        <v>13051781.25</v>
      </c>
      <c r="Q47" s="54">
        <f t="shared" si="9"/>
        <v>13051781.25</v>
      </c>
      <c r="R47" s="54">
        <f t="shared" si="9"/>
        <v>13051781.25</v>
      </c>
      <c r="S47" s="54">
        <f t="shared" si="9"/>
        <v>13051781.25</v>
      </c>
      <c r="T47" s="54">
        <f t="shared" si="9"/>
        <v>13051781.25</v>
      </c>
      <c r="U47" s="54">
        <f t="shared" si="9"/>
        <v>13051781.25</v>
      </c>
      <c r="V47" s="54">
        <f t="shared" si="9"/>
        <v>13051781.25</v>
      </c>
      <c r="W47" s="54">
        <f t="shared" si="9"/>
        <v>13051781.25</v>
      </c>
      <c r="X47" s="54">
        <f t="shared" si="9"/>
        <v>13051781.25</v>
      </c>
      <c r="Y47" s="54">
        <f t="shared" si="9"/>
        <v>13051781.25</v>
      </c>
      <c r="Z47" s="54">
        <f t="shared" si="9"/>
        <v>13051781.25</v>
      </c>
      <c r="AA47" s="54">
        <f t="shared" si="9"/>
        <v>13051781.25</v>
      </c>
      <c r="AB47" s="54">
        <f t="shared" si="9"/>
        <v>13051781.25</v>
      </c>
      <c r="AC47" s="54">
        <f t="shared" si="9"/>
        <v>13051781.25</v>
      </c>
      <c r="AD47" s="54">
        <f t="shared" si="9"/>
        <v>13051781.25</v>
      </c>
      <c r="AE47" s="54">
        <f t="shared" si="9"/>
        <v>13051781.25</v>
      </c>
      <c r="AF47" s="54">
        <f t="shared" si="9"/>
        <v>13051781.25</v>
      </c>
      <c r="AG47" s="54">
        <f t="shared" si="9"/>
        <v>13051781.25</v>
      </c>
      <c r="AH47" s="54">
        <f t="shared" si="9"/>
        <v>13051781.25</v>
      </c>
      <c r="AI47" s="54">
        <f t="shared" si="9"/>
        <v>13051781.25</v>
      </c>
      <c r="AJ47" s="54">
        <f t="shared" si="9"/>
        <v>13051781.25</v>
      </c>
      <c r="AK47" s="54">
        <f t="shared" si="9"/>
        <v>13051781.25</v>
      </c>
      <c r="AL47" s="54">
        <f t="shared" si="9"/>
        <v>13051781.25</v>
      </c>
      <c r="AM47" s="54">
        <f t="shared" si="9"/>
        <v>13051781.25</v>
      </c>
      <c r="AN47" s="54">
        <f t="shared" si="9"/>
        <v>13037972.43</v>
      </c>
      <c r="AO47" s="54">
        <f t="shared" si="9"/>
        <v>13024098.24</v>
      </c>
      <c r="AP47" s="54">
        <f t="shared" si="9"/>
        <v>13010158.39</v>
      </c>
      <c r="AQ47" s="54">
        <f t="shared" si="9"/>
        <v>12996152.55</v>
      </c>
      <c r="AR47" s="54">
        <f t="shared" si="9"/>
        <v>12982080.42</v>
      </c>
      <c r="AS47" s="54">
        <f t="shared" si="9"/>
        <v>12967941.67</v>
      </c>
      <c r="AT47" s="54">
        <f t="shared" si="9"/>
        <v>12953736.01</v>
      </c>
      <c r="AU47" s="54">
        <f t="shared" si="9"/>
        <v>12939463.1</v>
      </c>
      <c r="AV47" s="54">
        <f t="shared" si="9"/>
        <v>12925122.64</v>
      </c>
      <c r="AW47" s="54">
        <f t="shared" si="9"/>
        <v>12910714.3</v>
      </c>
      <c r="AX47" s="54">
        <f t="shared" si="9"/>
        <v>12896237.76</v>
      </c>
      <c r="AY47" s="54">
        <f t="shared" si="9"/>
        <v>12881692.7</v>
      </c>
      <c r="AZ47" s="54">
        <f t="shared" si="9"/>
        <v>12867078.79</v>
      </c>
      <c r="BA47" s="54">
        <f t="shared" si="9"/>
        <v>12852395.7</v>
      </c>
      <c r="BB47" s="54">
        <f t="shared" si="9"/>
        <v>12837643.12</v>
      </c>
      <c r="BC47" s="54">
        <f t="shared" si="9"/>
        <v>12822820.71</v>
      </c>
      <c r="BD47" s="54">
        <f t="shared" si="9"/>
        <v>12807928.14</v>
      </c>
      <c r="BE47" s="54">
        <f t="shared" si="9"/>
        <v>12792965.08</v>
      </c>
      <c r="BF47" s="54">
        <f t="shared" si="9"/>
        <v>12777931.19</v>
      </c>
      <c r="BG47" s="54">
        <f t="shared" si="9"/>
        <v>12762826.14</v>
      </c>
      <c r="BH47" s="54">
        <f t="shared" si="9"/>
        <v>12747649.6</v>
      </c>
      <c r="BI47" s="54">
        <f t="shared" si="9"/>
        <v>12732401.22</v>
      </c>
      <c r="BJ47" s="54">
        <f t="shared" si="9"/>
        <v>12717080.66</v>
      </c>
      <c r="BK47" s="54">
        <f t="shared" si="9"/>
        <v>12701687.59</v>
      </c>
      <c r="BL47" s="54">
        <f t="shared" si="9"/>
        <v>12686221.65</v>
      </c>
      <c r="BM47" s="54">
        <f t="shared" si="9"/>
        <v>12670682.51</v>
      </c>
      <c r="BN47" s="54">
        <f t="shared" si="9"/>
        <v>12655069.82</v>
      </c>
      <c r="BO47" s="54">
        <f t="shared" si="9"/>
        <v>12639383.23</v>
      </c>
      <c r="BP47" s="54">
        <f t="shared" si="9"/>
        <v>12623622.39</v>
      </c>
      <c r="BQ47" s="54">
        <f t="shared" si="9"/>
        <v>12607786.95</v>
      </c>
      <c r="BR47" s="54">
        <f t="shared" si="9"/>
        <v>12591876.55</v>
      </c>
      <c r="BS47" s="54">
        <f t="shared" si="9"/>
        <v>12575890.84</v>
      </c>
      <c r="BT47" s="54">
        <f t="shared" si="9"/>
        <v>12559829.47</v>
      </c>
      <c r="BU47" s="54">
        <f t="shared" si="9"/>
        <v>12543692.08</v>
      </c>
      <c r="BV47" s="54">
        <f t="shared" si="9"/>
        <v>12527478.3</v>
      </c>
      <c r="BW47" s="54">
        <f t="shared" si="9"/>
        <v>12511187.77</v>
      </c>
      <c r="BX47" s="54">
        <f t="shared" si="9"/>
        <v>12494820.14</v>
      </c>
      <c r="BY47" s="54">
        <f t="shared" si="9"/>
        <v>12478375.03</v>
      </c>
      <c r="BZ47" s="54">
        <f t="shared" si="9"/>
        <v>12461852.09</v>
      </c>
      <c r="CA47" s="54">
        <f t="shared" si="9"/>
        <v>12445250.93</v>
      </c>
      <c r="CB47" s="54">
        <f t="shared" si="9"/>
        <v>12428571.2</v>
      </c>
      <c r="CC47" s="54">
        <f t="shared" si="9"/>
        <v>12411812.51</v>
      </c>
      <c r="CD47" s="54">
        <f t="shared" si="9"/>
        <v>12394974.5</v>
      </c>
      <c r="CE47" s="54">
        <f t="shared" si="9"/>
        <v>12378056.79</v>
      </c>
      <c r="CF47" s="54">
        <f t="shared" si="9"/>
        <v>12361059.01</v>
      </c>
      <c r="CG47" s="54">
        <f t="shared" si="9"/>
        <v>12343980.76</v>
      </c>
      <c r="CH47" s="54">
        <f t="shared" si="9"/>
        <v>12326821.68</v>
      </c>
      <c r="CI47" s="54">
        <f t="shared" si="9"/>
        <v>12309581.39</v>
      </c>
      <c r="CJ47" s="54">
        <f t="shared" si="9"/>
        <v>12292259.48</v>
      </c>
      <c r="CK47" s="54">
        <f t="shared" si="9"/>
        <v>12274855.59</v>
      </c>
      <c r="CL47" s="54">
        <f t="shared" si="9"/>
        <v>12257369.32</v>
      </c>
      <c r="CM47" s="54">
        <f t="shared" si="9"/>
        <v>12239800.28</v>
      </c>
      <c r="CN47" s="54">
        <f t="shared" si="9"/>
        <v>12222148.08</v>
      </c>
      <c r="CO47" s="54">
        <f t="shared" si="9"/>
        <v>12204412.32</v>
      </c>
      <c r="CP47" s="54">
        <f t="shared" si="9"/>
        <v>12186592.62</v>
      </c>
      <c r="CQ47" s="54">
        <f t="shared" si="9"/>
        <v>12168688.57</v>
      </c>
      <c r="CR47" s="54">
        <f t="shared" si="9"/>
        <v>12150699.77</v>
      </c>
      <c r="CS47" s="54">
        <f t="shared" si="9"/>
        <v>12132625.83</v>
      </c>
      <c r="CT47" s="54">
        <f t="shared" si="9"/>
        <v>12114466.33</v>
      </c>
      <c r="CU47" s="54">
        <f t="shared" si="9"/>
        <v>12096220.89</v>
      </c>
      <c r="CV47" s="54">
        <f t="shared" si="9"/>
        <v>12077889.08</v>
      </c>
      <c r="CW47" s="54">
        <f t="shared" si="9"/>
        <v>12059470.5</v>
      </c>
      <c r="CX47" s="54">
        <f t="shared" si="9"/>
        <v>12040964.74</v>
      </c>
      <c r="CY47" s="54">
        <f t="shared" si="9"/>
        <v>12022371.38</v>
      </c>
      <c r="CZ47" s="54">
        <f t="shared" si="9"/>
        <v>12003690.02</v>
      </c>
      <c r="DA47" s="54">
        <f t="shared" si="9"/>
        <v>11984920.23</v>
      </c>
      <c r="DB47" s="54">
        <f t="shared" si="9"/>
        <v>11966061.59</v>
      </c>
      <c r="DC47" s="54">
        <f t="shared" si="9"/>
        <v>11947113.7</v>
      </c>
      <c r="DD47" s="54">
        <f t="shared" si="9"/>
        <v>11928076.11</v>
      </c>
      <c r="DE47" s="54">
        <f t="shared" si="9"/>
        <v>11908948.42</v>
      </c>
      <c r="DF47" s="54">
        <f t="shared" si="9"/>
        <v>11889730.19</v>
      </c>
      <c r="DG47" s="54">
        <f t="shared" si="9"/>
        <v>11870420.99</v>
      </c>
      <c r="DH47" s="54">
        <f t="shared" si="9"/>
        <v>11851020.39</v>
      </c>
      <c r="DI47" s="54">
        <f t="shared" si="9"/>
        <v>11831527.96</v>
      </c>
      <c r="DJ47" s="54">
        <f t="shared" si="9"/>
        <v>11811943.28</v>
      </c>
      <c r="DK47" s="54">
        <f t="shared" si="9"/>
        <v>11792265.88</v>
      </c>
      <c r="DL47" s="54">
        <f t="shared" si="9"/>
        <v>11772495.35</v>
      </c>
      <c r="DM47" s="54">
        <f t="shared" si="9"/>
        <v>11752631.24</v>
      </c>
      <c r="DN47" s="54">
        <f t="shared" si="9"/>
        <v>11732673.11</v>
      </c>
      <c r="DO47" s="54">
        <f t="shared" si="9"/>
        <v>11712620.51</v>
      </c>
      <c r="DP47" s="54">
        <f t="shared" si="9"/>
        <v>11692472.99</v>
      </c>
      <c r="DQ47" s="54">
        <f t="shared" si="9"/>
        <v>11672230.11</v>
      </c>
      <c r="DR47" s="54">
        <f t="shared" si="9"/>
        <v>11651891.41</v>
      </c>
      <c r="DS47" s="54">
        <f t="shared" si="9"/>
        <v>11631456.44</v>
      </c>
      <c r="DT47" s="54">
        <f t="shared" si="9"/>
        <v>11610924.74</v>
      </c>
      <c r="DU47" s="54">
        <f t="shared" si="9"/>
        <v>11590295.86</v>
      </c>
      <c r="DV47" s="54">
        <f t="shared" si="9"/>
        <v>11569569.34</v>
      </c>
      <c r="DW47" s="54">
        <f t="shared" si="9"/>
        <v>11548744.72</v>
      </c>
      <c r="DX47" s="54">
        <f t="shared" si="9"/>
        <v>11527821.52</v>
      </c>
      <c r="DY47" s="54">
        <f t="shared" si="9"/>
        <v>11506799.29</v>
      </c>
      <c r="DZ47" s="54">
        <f t="shared" si="9"/>
        <v>11485677.55</v>
      </c>
      <c r="EA47" s="54">
        <f t="shared" si="9"/>
        <v>11464455.83</v>
      </c>
      <c r="EB47" s="54">
        <f t="shared" si="9"/>
        <v>11443133.67</v>
      </c>
      <c r="EC47" s="54">
        <f t="shared" si="9"/>
        <v>11421710.58</v>
      </c>
      <c r="ED47" s="54">
        <f t="shared" si="9"/>
        <v>11400186.09</v>
      </c>
      <c r="EE47" s="54">
        <f t="shared" si="9"/>
        <v>11378559.71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9" t="s">
        <v>198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199</v>
      </c>
      <c r="D50" s="54">
        <f>SUM(E38:P38)/Assumptions!$AB64*IF(D1=Assumptions!$AB68*12,1,0)</f>
        <v>0</v>
      </c>
      <c r="E50" s="54">
        <f>SUM(F38:Q38)/Assumptions!$AB64*IF(E1=Assumptions!$AB68*12,1,0)</f>
        <v>0</v>
      </c>
      <c r="F50" s="54">
        <f>SUM(G38:R38)/Assumptions!$AB64*IF(F1=Assumptions!$AB68*12,1,0)</f>
        <v>0</v>
      </c>
      <c r="G50" s="54">
        <f>SUM(H38:S38)/Assumptions!$AB64*IF(G1=Assumptions!$AB68*12,1,0)</f>
        <v>0</v>
      </c>
      <c r="H50" s="54">
        <f>SUM(I38:T38)/Assumptions!$AB64*IF(H1=Assumptions!$AB68*12,1,0)</f>
        <v>0</v>
      </c>
      <c r="I50" s="54">
        <f>SUM(J38:U38)/Assumptions!$AB64*IF(I1=Assumptions!$AB68*12,1,0)</f>
        <v>0</v>
      </c>
      <c r="J50" s="54">
        <f>SUM(K38:V38)/Assumptions!$AB64*IF(J1=Assumptions!$AB68*12,1,0)</f>
        <v>0</v>
      </c>
      <c r="K50" s="54">
        <f>SUM(L38:W38)/Assumptions!$AB64*IF(K1=Assumptions!$AB68*12,1,0)</f>
        <v>0</v>
      </c>
      <c r="L50" s="54">
        <f>SUM(M38:X38)/Assumptions!$AB64*IF(L1=Assumptions!$AB68*12,1,0)</f>
        <v>0</v>
      </c>
      <c r="M50" s="54">
        <f>SUM(N38:Y38)/Assumptions!$AB64*IF(M1=Assumptions!$AB68*12,1,0)</f>
        <v>0</v>
      </c>
      <c r="N50" s="54">
        <f>SUM(O38:Z38)/Assumptions!$AB64*IF(N1=Assumptions!$AB68*12,1,0)</f>
        <v>0</v>
      </c>
      <c r="O50" s="54">
        <f>SUM(P38:AA38)/Assumptions!$AB64*IF(O1=Assumptions!$AB68*12,1,0)</f>
        <v>0</v>
      </c>
      <c r="P50" s="54">
        <f>SUM(Q38:AB38)/Assumptions!$AB64*IF(P1=Assumptions!$AB68*12,1,0)</f>
        <v>0</v>
      </c>
      <c r="Q50" s="54">
        <f>SUM(R38:AC38)/Assumptions!$AB64*IF(Q1=Assumptions!$AB68*12,1,0)</f>
        <v>0</v>
      </c>
      <c r="R50" s="54">
        <f>SUM(S38:AD38)/Assumptions!$AB64*IF(R1=Assumptions!$AB68*12,1,0)</f>
        <v>0</v>
      </c>
      <c r="S50" s="54">
        <f>SUM(T38:AE38)/Assumptions!$AB64*IF(S1=Assumptions!$AB68*12,1,0)</f>
        <v>0</v>
      </c>
      <c r="T50" s="54">
        <f>SUM(U38:AF38)/Assumptions!$AB64*IF(T1=Assumptions!$AB68*12,1,0)</f>
        <v>0</v>
      </c>
      <c r="U50" s="54">
        <f>SUM(V38:AG38)/Assumptions!$AB64*IF(U1=Assumptions!$AB68*12,1,0)</f>
        <v>0</v>
      </c>
      <c r="V50" s="54">
        <f>SUM(W38:AH38)/Assumptions!$AB64*IF(V1=Assumptions!$AB68*12,1,0)</f>
        <v>0</v>
      </c>
      <c r="W50" s="54">
        <f>SUM(X38:AI38)/Assumptions!$AB64*IF(W1=Assumptions!$AB68*12,1,0)</f>
        <v>0</v>
      </c>
      <c r="X50" s="54">
        <f>SUM(Y38:AJ38)/Assumptions!$AB64*IF(X1=Assumptions!$AB68*12,1,0)</f>
        <v>0</v>
      </c>
      <c r="Y50" s="54">
        <f>SUM(Z38:AK38)/Assumptions!$AB64*IF(Y1=Assumptions!$AB68*12,1,0)</f>
        <v>0</v>
      </c>
      <c r="Z50" s="54">
        <f>SUM(AA38:AL38)/Assumptions!$AB64*IF(Z1=Assumptions!$AB68*12,1,0)</f>
        <v>0</v>
      </c>
      <c r="AA50" s="54">
        <f>SUM(AB38:AM38)/Assumptions!$AB64*IF(AA1=Assumptions!$AB68*12,1,0)</f>
        <v>0</v>
      </c>
      <c r="AB50" s="54">
        <f>SUM(AC38:AN38)/Assumptions!$AB64*IF(AB1=Assumptions!$AB68*12,1,0)</f>
        <v>0</v>
      </c>
      <c r="AC50" s="54">
        <f>SUM(AD38:AO38)/Assumptions!$AB64*IF(AC1=Assumptions!$AB68*12,1,0)</f>
        <v>0</v>
      </c>
      <c r="AD50" s="54">
        <f>SUM(AE38:AP38)/Assumptions!$AB64*IF(AD1=Assumptions!$AB68*12,1,0)</f>
        <v>0</v>
      </c>
      <c r="AE50" s="54">
        <f>SUM(AF38:AQ38)/Assumptions!$AB64*IF(AE1=Assumptions!$AB68*12,1,0)</f>
        <v>0</v>
      </c>
      <c r="AF50" s="54">
        <f>SUM(AG38:AR38)/Assumptions!$AB64*IF(AF1=Assumptions!$AB68*12,1,0)</f>
        <v>0</v>
      </c>
      <c r="AG50" s="54">
        <f>SUM(AH38:AS38)/Assumptions!$AB64*IF(AG1=Assumptions!$AB68*12,1,0)</f>
        <v>0</v>
      </c>
      <c r="AH50" s="54">
        <f>SUM(AI38:AT38)/Assumptions!$AB64*IF(AH1=Assumptions!$AB68*12,1,0)</f>
        <v>0</v>
      </c>
      <c r="AI50" s="54">
        <f>SUM(AJ38:AU38)/Assumptions!$AB64*IF(AI1=Assumptions!$AB68*12,1,0)</f>
        <v>0</v>
      </c>
      <c r="AJ50" s="54">
        <f>SUM(AK38:AV38)/Assumptions!$AB64*IF(AJ1=Assumptions!$AB68*12,1,0)</f>
        <v>0</v>
      </c>
      <c r="AK50" s="54">
        <f>SUM(AL38:AW38)/Assumptions!$AB64*IF(AK1=Assumptions!$AB68*12,1,0)</f>
        <v>0</v>
      </c>
      <c r="AL50" s="54">
        <f>SUM(AM38:AX38)/Assumptions!$AB64*IF(AL1=Assumptions!$AB68*12,1,0)</f>
        <v>0</v>
      </c>
      <c r="AM50" s="54">
        <f>SUM(AN38:AY38)/Assumptions!$AB64*IF(AM1=Assumptions!$AB68*12,1,0)</f>
        <v>0</v>
      </c>
      <c r="AN50" s="54">
        <f>SUM(AO38:AZ38)/Assumptions!$AB64*IF(AN1=Assumptions!$AB68*12,1,0)</f>
        <v>0</v>
      </c>
      <c r="AO50" s="54">
        <f>SUM(AP38:BA38)/Assumptions!$AB64*IF(AO1=Assumptions!$AB68*12,1,0)</f>
        <v>0</v>
      </c>
      <c r="AP50" s="54">
        <f>SUM(AQ38:BB38)/Assumptions!$AB64*IF(AP1=Assumptions!$AB68*12,1,0)</f>
        <v>0</v>
      </c>
      <c r="AQ50" s="54">
        <f>SUM(AR38:BC38)/Assumptions!$AB64*IF(AQ1=Assumptions!$AB68*12,1,0)</f>
        <v>0</v>
      </c>
      <c r="AR50" s="54">
        <f>SUM(AS38:BD38)/Assumptions!$AB64*IF(AR1=Assumptions!$AB68*12,1,0)</f>
        <v>0</v>
      </c>
      <c r="AS50" s="54">
        <f>SUM(AT38:BE38)/Assumptions!$AB64*IF(AS1=Assumptions!$AB68*12,1,0)</f>
        <v>0</v>
      </c>
      <c r="AT50" s="54">
        <f>SUM(AU38:BF38)/Assumptions!$AB64*IF(AT1=Assumptions!$AB68*12,1,0)</f>
        <v>0</v>
      </c>
      <c r="AU50" s="54">
        <f>SUM(AV38:BG38)/Assumptions!$AB64*IF(AU1=Assumptions!$AB68*12,1,0)</f>
        <v>0</v>
      </c>
      <c r="AV50" s="54">
        <f>SUM(AW38:BH38)/Assumptions!$AB64*IF(AV1=Assumptions!$AB68*12,1,0)</f>
        <v>0</v>
      </c>
      <c r="AW50" s="54">
        <f>SUM(AX38:BI38)/Assumptions!$AB64*IF(AW1=Assumptions!$AB68*12,1,0)</f>
        <v>0</v>
      </c>
      <c r="AX50" s="54">
        <f>SUM(AY38:BJ38)/Assumptions!$AB64*IF(AX1=Assumptions!$AB68*12,1,0)</f>
        <v>0</v>
      </c>
      <c r="AY50" s="54">
        <f>SUM(AZ38:BK38)/Assumptions!$AB64*IF(AY1=Assumptions!$AB68*12,1,0)</f>
        <v>0</v>
      </c>
      <c r="AZ50" s="54">
        <f>SUM(BA38:BL38)/Assumptions!$AB64*IF(AZ1=Assumptions!$AB68*12,1,0)</f>
        <v>0</v>
      </c>
      <c r="BA50" s="54">
        <f>SUM(BB38:BM38)/Assumptions!$AB64*IF(BA1=Assumptions!$AB68*12,1,0)</f>
        <v>0</v>
      </c>
      <c r="BB50" s="54">
        <f>SUM(BC38:BN38)/Assumptions!$AB64*IF(BB1=Assumptions!$AB68*12,1,0)</f>
        <v>0</v>
      </c>
      <c r="BC50" s="54">
        <f>SUM(BD38:BO38)/Assumptions!$AB64*IF(BC1=Assumptions!$AB68*12,1,0)</f>
        <v>0</v>
      </c>
      <c r="BD50" s="54">
        <f>SUM(BE38:BP38)/Assumptions!$AB64*IF(BD1=Assumptions!$AB68*12,1,0)</f>
        <v>0</v>
      </c>
      <c r="BE50" s="54">
        <f>SUM(BF38:BQ38)/Assumptions!$AB64*IF(BE1=Assumptions!$AB68*12,1,0)</f>
        <v>0</v>
      </c>
      <c r="BF50" s="54">
        <f>SUM(BG38:BR38)/Assumptions!$AB64*IF(BF1=Assumptions!$AB68*12,1,0)</f>
        <v>0</v>
      </c>
      <c r="BG50" s="54">
        <f>SUM(BH38:BS38)/Assumptions!$AB64*IF(BG1=Assumptions!$AB68*12,1,0)</f>
        <v>0</v>
      </c>
      <c r="BH50" s="54">
        <f>SUM(BI38:BT38)/Assumptions!$AB64*IF(BH1=Assumptions!$AB68*12,1,0)</f>
        <v>0</v>
      </c>
      <c r="BI50" s="54">
        <f>SUM(BJ38:BU38)/Assumptions!$AB64*IF(BI1=Assumptions!$AB68*12,1,0)</f>
        <v>0</v>
      </c>
      <c r="BJ50" s="54">
        <f>SUM(BK38:BV38)/Assumptions!$AB64*IF(BJ1=Assumptions!$AB68*12,1,0)</f>
        <v>0</v>
      </c>
      <c r="BK50" s="54">
        <f>SUM(BL38:BW38)/Assumptions!$AB64*IF(BK1=Assumptions!$AB68*12,1,0)</f>
        <v>0</v>
      </c>
      <c r="BL50" s="54">
        <f>SUM(BM38:BX38)/Assumptions!$AB64*IF(BL1=Assumptions!$AB68*12,1,0)</f>
        <v>0</v>
      </c>
      <c r="BM50" s="54">
        <f>SUM(BN38:BY38)/Assumptions!$AB64*IF(BM1=Assumptions!$AB68*12,1,0)</f>
        <v>0</v>
      </c>
      <c r="BN50" s="54">
        <f>SUM(BO38:BZ38)/Assumptions!$AB64*IF(BN1=Assumptions!$AB68*12,1,0)</f>
        <v>0</v>
      </c>
      <c r="BO50" s="54">
        <f>SUM(BP38:CA38)/Assumptions!$AB64*IF(BO1=Assumptions!$AB68*12,1,0)</f>
        <v>0</v>
      </c>
      <c r="BP50" s="54">
        <f>SUM(BQ38:CB38)/Assumptions!$AB64*IF(BP1=Assumptions!$AB68*12,1,0)</f>
        <v>0</v>
      </c>
      <c r="BQ50" s="54">
        <f>SUM(BR38:CC38)/Assumptions!$AB64*IF(BQ1=Assumptions!$AB68*12,1,0)</f>
        <v>0</v>
      </c>
      <c r="BR50" s="54">
        <f>SUM(BS38:CD38)/Assumptions!$AB64*IF(BR1=Assumptions!$AB68*12,1,0)</f>
        <v>0</v>
      </c>
      <c r="BS50" s="54">
        <f>SUM(BT38:CE38)/Assumptions!$AB64*IF(BS1=Assumptions!$AB68*12,1,0)</f>
        <v>0</v>
      </c>
      <c r="BT50" s="54">
        <f>SUM(BU38:CF38)/Assumptions!$AB64*IF(BT1=Assumptions!$AB68*12,1,0)</f>
        <v>0</v>
      </c>
      <c r="BU50" s="54">
        <f>SUM(BV38:CG38)/Assumptions!$AB64*IF(BU1=Assumptions!$AB68*12,1,0)</f>
        <v>0</v>
      </c>
      <c r="BV50" s="54">
        <f>SUM(BW38:CH38)/Assumptions!$AB64*IF(BV1=Assumptions!$AB68*12,1,0)</f>
        <v>0</v>
      </c>
      <c r="BW50" s="54">
        <f>SUM(BX38:CI38)/Assumptions!$AB64*IF(BW1=Assumptions!$AB68*12,1,0)</f>
        <v>0</v>
      </c>
      <c r="BX50" s="54">
        <f>SUM(BY38:CJ38)/Assumptions!$AB64*IF(BX1=Assumptions!$AB68*12,1,0)</f>
        <v>0</v>
      </c>
      <c r="BY50" s="54">
        <f>SUM(BZ38:CK38)/Assumptions!$AB64*IF(BY1=Assumptions!$AB68*12,1,0)</f>
        <v>0</v>
      </c>
      <c r="BZ50" s="54">
        <f>SUM(CA38:CL38)/Assumptions!$AB64*IF(BZ1=Assumptions!$AB68*12,1,0)</f>
        <v>0</v>
      </c>
      <c r="CA50" s="54">
        <f>SUM(CB38:CM38)/Assumptions!$AB64*IF(CA1=Assumptions!$AB68*12,1,0)</f>
        <v>0</v>
      </c>
      <c r="CB50" s="54">
        <f>SUM(CC38:CN38)/Assumptions!$AB64*IF(CB1=Assumptions!$AB68*12,1,0)</f>
        <v>0</v>
      </c>
      <c r="CC50" s="54">
        <f>SUM(CD38:CO38)/Assumptions!$AB64*IF(CC1=Assumptions!$AB68*12,1,0)</f>
        <v>0</v>
      </c>
      <c r="CD50" s="54">
        <f>SUM(CE38:CP38)/Assumptions!$AB64*IF(CD1=Assumptions!$AB68*12,1,0)</f>
        <v>0</v>
      </c>
      <c r="CE50" s="54">
        <f>SUM(CF38:CQ38)/Assumptions!$AB64*IF(CE1=Assumptions!$AB68*12,1,0)</f>
        <v>0</v>
      </c>
      <c r="CF50" s="54">
        <f>SUM(CG38:CR38)/Assumptions!$AB64*IF(CF1=Assumptions!$AB68*12,1,0)</f>
        <v>0</v>
      </c>
      <c r="CG50" s="54">
        <f>SUM(CH38:CS38)/Assumptions!$AB64*IF(CG1=Assumptions!$AB68*12,1,0)</f>
        <v>0</v>
      </c>
      <c r="CH50" s="54">
        <f>SUM(CI38:CT38)/Assumptions!$AB64*IF(CH1=Assumptions!$AB68*12,1,0)</f>
        <v>0</v>
      </c>
      <c r="CI50" s="54">
        <f>SUM(CJ38:CU38)/Assumptions!$AB64*IF(CI1=Assumptions!$AB68*12,1,0)</f>
        <v>0</v>
      </c>
      <c r="CJ50" s="54">
        <f>SUM(CK38:CV38)/Assumptions!$AB64*IF(CJ1=Assumptions!$AB68*12,1,0)</f>
        <v>0</v>
      </c>
      <c r="CK50" s="54">
        <f>SUM(CL38:CW38)/Assumptions!$AB64*IF(CK1=Assumptions!$AB68*12,1,0)</f>
        <v>0</v>
      </c>
      <c r="CL50" s="54">
        <f>SUM(CM38:CX38)/Assumptions!$AB64*IF(CL1=Assumptions!$AB68*12,1,0)</f>
        <v>0</v>
      </c>
      <c r="CM50" s="54">
        <f>SUM(CN38:CY38)/Assumptions!$AB64*IF(CM1=Assumptions!$AB68*12,1,0)</f>
        <v>0</v>
      </c>
      <c r="CN50" s="54">
        <f>SUM(CO38:CZ38)/Assumptions!$AB64*IF(CN1=Assumptions!$AB68*12,1,0)</f>
        <v>0</v>
      </c>
      <c r="CO50" s="54">
        <f>SUM(CP38:DA38)/Assumptions!$AB64*IF(CO1=Assumptions!$AB68*12,1,0)</f>
        <v>0</v>
      </c>
      <c r="CP50" s="54">
        <f>SUM(CQ38:DB38)/Assumptions!$AB64*IF(CP1=Assumptions!$AB68*12,1,0)</f>
        <v>0</v>
      </c>
      <c r="CQ50" s="54">
        <f>SUM(CR38:DC38)/Assumptions!$AB64*IF(CQ1=Assumptions!$AB68*12,1,0)</f>
        <v>0</v>
      </c>
      <c r="CR50" s="54">
        <f>SUM(CS38:DD38)/Assumptions!$AB64*IF(CR1=Assumptions!$AB68*12,1,0)</f>
        <v>0</v>
      </c>
      <c r="CS50" s="54">
        <f>SUM(CT38:DE38)/Assumptions!$AB64*IF(CS1=Assumptions!$AB68*12,1,0)</f>
        <v>0</v>
      </c>
      <c r="CT50" s="54">
        <f>SUM(CU38:DF38)/Assumptions!$AB64*IF(CT1=Assumptions!$AB68*12,1,0)</f>
        <v>0</v>
      </c>
      <c r="CU50" s="54">
        <f>SUM(CV38:DG38)/Assumptions!$AB64*IF(CU1=Assumptions!$AB68*12,1,0)</f>
        <v>0</v>
      </c>
      <c r="CV50" s="54">
        <f>SUM(CW38:DH38)/Assumptions!$AB64*IF(CV1=Assumptions!$AB68*12,1,0)</f>
        <v>0</v>
      </c>
      <c r="CW50" s="54">
        <f>SUM(CX38:DI38)/Assumptions!$AB64*IF(CW1=Assumptions!$AB68*12,1,0)</f>
        <v>0</v>
      </c>
      <c r="CX50" s="54">
        <f>SUM(CY38:DJ38)/Assumptions!$AB64*IF(CX1=Assumptions!$AB68*12,1,0)</f>
        <v>0</v>
      </c>
      <c r="CY50" s="54">
        <f>SUM(CZ38:DK38)/Assumptions!$AB64*IF(CY1=Assumptions!$AB68*12,1,0)</f>
        <v>0</v>
      </c>
      <c r="CZ50" s="54">
        <f>SUM(DA38:DL38)/Assumptions!$AB64*IF(CZ1=Assumptions!$AB68*12,1,0)</f>
        <v>0</v>
      </c>
      <c r="DA50" s="54">
        <f>SUM(DB38:DM38)/Assumptions!$AB64*IF(DA1=Assumptions!$AB68*12,1,0)</f>
        <v>0</v>
      </c>
      <c r="DB50" s="54">
        <f>SUM(DC38:DN38)/Assumptions!$AB64*IF(DB1=Assumptions!$AB68*12,1,0)</f>
        <v>0</v>
      </c>
      <c r="DC50" s="54">
        <f>SUM(DD38:DO38)/Assumptions!$AB64*IF(DC1=Assumptions!$AB68*12,1,0)</f>
        <v>0</v>
      </c>
      <c r="DD50" s="54">
        <f>SUM(DE38:DP38)/Assumptions!$AB64*IF(DD1=Assumptions!$AB68*12,1,0)</f>
        <v>0</v>
      </c>
      <c r="DE50" s="54">
        <f>SUM(DF38:DQ38)/Assumptions!$AB64*IF(DE1=Assumptions!$AB68*12,1,0)</f>
        <v>0</v>
      </c>
      <c r="DF50" s="54">
        <f>SUM(DG38:DR38)/Assumptions!$AB64*IF(DF1=Assumptions!$AB68*12,1,0)</f>
        <v>0</v>
      </c>
      <c r="DG50" s="54">
        <f>SUM(DH38:DS38)/Assumptions!$AB64*IF(DG1=Assumptions!$AB68*12,1,0)</f>
        <v>0</v>
      </c>
      <c r="DH50" s="54">
        <f>SUM(DI38:DT38)/Assumptions!$AB64*IF(DH1=Assumptions!$AB68*12,1,0)</f>
        <v>0</v>
      </c>
      <c r="DI50" s="54">
        <f>SUM(DJ38:DU38)/Assumptions!$AB64*IF(DI1=Assumptions!$AB68*12,1,0)</f>
        <v>0</v>
      </c>
      <c r="DJ50" s="54">
        <f>SUM(DK38:DV38)/Assumptions!$AB64*IF(DJ1=Assumptions!$AB68*12,1,0)</f>
        <v>0</v>
      </c>
      <c r="DK50" s="54">
        <f>SUM(DL38:DW38)/Assumptions!$AB64*IF(DK1=Assumptions!$AB68*12,1,0)</f>
        <v>0</v>
      </c>
      <c r="DL50" s="54">
        <f>SUM(DM38:DX38)/Assumptions!$AB64*IF(DL1=Assumptions!$AB68*12,1,0)</f>
        <v>0</v>
      </c>
      <c r="DM50" s="54">
        <f>SUM(DN38:DY38)/Assumptions!$AB64*IF(DM1=Assumptions!$AB68*12,1,0)</f>
        <v>0</v>
      </c>
      <c r="DN50" s="54">
        <f>SUM(DO38:DZ38)/Assumptions!$AB64*IF(DN1=Assumptions!$AB68*12,1,0)</f>
        <v>0</v>
      </c>
      <c r="DO50" s="54">
        <f>SUM(DP38:EA38)/Assumptions!$AB64*IF(DO1=Assumptions!$AB68*12,1,0)</f>
        <v>0</v>
      </c>
      <c r="DP50" s="54">
        <f>SUM(DQ38:EB38)/Assumptions!$AB64*IF(DP1=Assumptions!$AB68*12,1,0)</f>
        <v>0</v>
      </c>
      <c r="DQ50" s="54">
        <f>SUM(DR38:EC38)/Assumptions!$AB64*IF(DQ1=Assumptions!$AB68*12,1,0)</f>
        <v>0</v>
      </c>
      <c r="DR50" s="54">
        <f>SUM(DS38:ED38)/Assumptions!$AB64*IF(DR1=Assumptions!$AB68*12,1,0)</f>
        <v>0</v>
      </c>
      <c r="DS50" s="54">
        <f>SUM(DT38:EE38)/Assumptions!$AB64*IF(DS1=Assumptions!$AB68*12,1,0)</f>
        <v>30307884.74</v>
      </c>
      <c r="DT50" s="54">
        <f>SUM(DU38:EF38)/Assumptions!$AB64*IF(DT1=Assumptions!$AB68*12,1,0)</f>
        <v>0</v>
      </c>
      <c r="DU50" s="54">
        <f>SUM(DV38:EG38)/Assumptions!$AB64*IF(DU1=Assumptions!$AB68*12,1,0)</f>
        <v>0</v>
      </c>
      <c r="DV50" s="54">
        <f>SUM(DW38:EH38)/Assumptions!$AB64*IF(DV1=Assumptions!$AB68*12,1,0)</f>
        <v>0</v>
      </c>
      <c r="DW50" s="54">
        <f>SUM(DX38:EI38)/Assumptions!$AB64*IF(DW1=Assumptions!$AB68*12,1,0)</f>
        <v>0</v>
      </c>
      <c r="DX50" s="54">
        <f>SUM(DY38:EJ38)/Assumptions!$AB64*IF(DX1=Assumptions!$AB68*12,1,0)</f>
        <v>0</v>
      </c>
      <c r="DY50" s="54">
        <f>SUM(DZ38:EK38)/Assumptions!$AB64*IF(DY1=Assumptions!$AB68*12,1,0)</f>
        <v>0</v>
      </c>
      <c r="DZ50" s="54">
        <f>SUM(EA38:EL38)/Assumptions!$AB64*IF(DZ1=Assumptions!$AB68*12,1,0)</f>
        <v>0</v>
      </c>
      <c r="EA50" s="54">
        <f>SUM(EB38:EM38)/Assumptions!$AB64*IF(EA1=Assumptions!$AB68*12,1,0)</f>
        <v>0</v>
      </c>
      <c r="EB50" s="54">
        <f>SUM(EC38:EN38)/Assumptions!$AB64*IF(EB1=Assumptions!$AB68*12,1,0)</f>
        <v>0</v>
      </c>
      <c r="EC50" s="54">
        <f>SUM(ED38:EO38)/Assumptions!$AB64*IF(EC1=Assumptions!$AB68*12,1,0)</f>
        <v>0</v>
      </c>
      <c r="ED50" s="54">
        <f>SUM(EE38:EP38)/Assumptions!$AB64*IF(ED1=Assumptions!$AB68*12,1,0)</f>
        <v>0</v>
      </c>
      <c r="EE50" s="54">
        <f>SUM(EF38:EQ38)/Assumptions!$AB64*IF(EE1=Assumptions!$AB68*12,1,0)</f>
        <v>0</v>
      </c>
    </row>
    <row r="51" ht="15.75" customHeight="1">
      <c r="A51" s="1"/>
      <c r="B51" s="1"/>
      <c r="C51" s="1" t="s">
        <v>120</v>
      </c>
      <c r="D51" s="54">
        <f>-D50*Assumptions!$AB65</f>
        <v>0</v>
      </c>
      <c r="E51" s="54">
        <f>-E50*Assumptions!$AB65</f>
        <v>0</v>
      </c>
      <c r="F51" s="54">
        <f>-F50*Assumptions!$AB65</f>
        <v>0</v>
      </c>
      <c r="G51" s="54">
        <f>-G50*Assumptions!$AB65</f>
        <v>0</v>
      </c>
      <c r="H51" s="54">
        <f>-H50*Assumptions!$AB65</f>
        <v>0</v>
      </c>
      <c r="I51" s="54">
        <f>-I50*Assumptions!$AB65</f>
        <v>0</v>
      </c>
      <c r="J51" s="54">
        <f>-J50*Assumptions!$AB65</f>
        <v>0</v>
      </c>
      <c r="K51" s="54">
        <f>-K50*Assumptions!$AB65</f>
        <v>0</v>
      </c>
      <c r="L51" s="54">
        <f>-L50*Assumptions!$AB65</f>
        <v>0</v>
      </c>
      <c r="M51" s="54">
        <f>-M50*Assumptions!$AB65</f>
        <v>0</v>
      </c>
      <c r="N51" s="54">
        <f>-N50*Assumptions!$AB65</f>
        <v>0</v>
      </c>
      <c r="O51" s="54">
        <f>-O50*Assumptions!$AB65</f>
        <v>0</v>
      </c>
      <c r="P51" s="54">
        <f>-P50*Assumptions!$AB65</f>
        <v>0</v>
      </c>
      <c r="Q51" s="54">
        <f>-Q50*Assumptions!$AB65</f>
        <v>0</v>
      </c>
      <c r="R51" s="54">
        <f>-R50*Assumptions!$AB65</f>
        <v>0</v>
      </c>
      <c r="S51" s="54">
        <f>-S50*Assumptions!$AB65</f>
        <v>0</v>
      </c>
      <c r="T51" s="54">
        <f>-T50*Assumptions!$AB65</f>
        <v>0</v>
      </c>
      <c r="U51" s="54">
        <f>-U50*Assumptions!$AB65</f>
        <v>0</v>
      </c>
      <c r="V51" s="54">
        <f>-V50*Assumptions!$AB65</f>
        <v>0</v>
      </c>
      <c r="W51" s="54">
        <f>-W50*Assumptions!$AB65</f>
        <v>0</v>
      </c>
      <c r="X51" s="54">
        <f>-X50*Assumptions!$AB65</f>
        <v>0</v>
      </c>
      <c r="Y51" s="54">
        <f>-Y50*Assumptions!$AB65</f>
        <v>0</v>
      </c>
      <c r="Z51" s="54">
        <f>-Z50*Assumptions!$AB65</f>
        <v>0</v>
      </c>
      <c r="AA51" s="54">
        <f>-AA50*Assumptions!$AB65</f>
        <v>0</v>
      </c>
      <c r="AB51" s="54">
        <f>-AB50*Assumptions!$AB65</f>
        <v>0</v>
      </c>
      <c r="AC51" s="54">
        <f>-AC50*Assumptions!$AB65</f>
        <v>0</v>
      </c>
      <c r="AD51" s="54">
        <f>-AD50*Assumptions!$AB65</f>
        <v>0</v>
      </c>
      <c r="AE51" s="54">
        <f>-AE50*Assumptions!$AB65</f>
        <v>0</v>
      </c>
      <c r="AF51" s="54">
        <f>-AF50*Assumptions!$AB65</f>
        <v>0</v>
      </c>
      <c r="AG51" s="54">
        <f>-AG50*Assumptions!$AB65</f>
        <v>0</v>
      </c>
      <c r="AH51" s="54">
        <f>-AH50*Assumptions!$AB65</f>
        <v>0</v>
      </c>
      <c r="AI51" s="54">
        <f>-AI50*Assumptions!$AB65</f>
        <v>0</v>
      </c>
      <c r="AJ51" s="54">
        <f>-AJ50*Assumptions!$AB65</f>
        <v>0</v>
      </c>
      <c r="AK51" s="54">
        <f>-AK50*Assumptions!$AB65</f>
        <v>0</v>
      </c>
      <c r="AL51" s="54">
        <f>-AL50*Assumptions!$AB65</f>
        <v>0</v>
      </c>
      <c r="AM51" s="54">
        <f>-AM50*Assumptions!$AB65</f>
        <v>0</v>
      </c>
      <c r="AN51" s="54">
        <f>-AN50*Assumptions!$AB65</f>
        <v>0</v>
      </c>
      <c r="AO51" s="54">
        <f>-AO50*Assumptions!$AB65</f>
        <v>0</v>
      </c>
      <c r="AP51" s="54">
        <f>-AP50*Assumptions!$AB65</f>
        <v>0</v>
      </c>
      <c r="AQ51" s="54">
        <f>-AQ50*Assumptions!$AB65</f>
        <v>0</v>
      </c>
      <c r="AR51" s="54">
        <f>-AR50*Assumptions!$AB65</f>
        <v>0</v>
      </c>
      <c r="AS51" s="54">
        <f>-AS50*Assumptions!$AB65</f>
        <v>0</v>
      </c>
      <c r="AT51" s="54">
        <f>-AT50*Assumptions!$AB65</f>
        <v>0</v>
      </c>
      <c r="AU51" s="54">
        <f>-AU50*Assumptions!$AB65</f>
        <v>0</v>
      </c>
      <c r="AV51" s="54">
        <f>-AV50*Assumptions!$AB65</f>
        <v>0</v>
      </c>
      <c r="AW51" s="54">
        <f>-AW50*Assumptions!$AB65</f>
        <v>0</v>
      </c>
      <c r="AX51" s="54">
        <f>-AX50*Assumptions!$AB65</f>
        <v>0</v>
      </c>
      <c r="AY51" s="54">
        <f>-AY50*Assumptions!$AB65</f>
        <v>0</v>
      </c>
      <c r="AZ51" s="54">
        <f>-AZ50*Assumptions!$AB65</f>
        <v>0</v>
      </c>
      <c r="BA51" s="54">
        <f>-BA50*Assumptions!$AB65</f>
        <v>0</v>
      </c>
      <c r="BB51" s="54">
        <f>-BB50*Assumptions!$AB65</f>
        <v>0</v>
      </c>
      <c r="BC51" s="54">
        <f>-BC50*Assumptions!$AB65</f>
        <v>0</v>
      </c>
      <c r="BD51" s="54">
        <f>-BD50*Assumptions!$AB65</f>
        <v>0</v>
      </c>
      <c r="BE51" s="54">
        <f>-BE50*Assumptions!$AB65</f>
        <v>0</v>
      </c>
      <c r="BF51" s="54">
        <f>-BF50*Assumptions!$AB65</f>
        <v>0</v>
      </c>
      <c r="BG51" s="54">
        <f>-BG50*Assumptions!$AB65</f>
        <v>0</v>
      </c>
      <c r="BH51" s="54">
        <f>-BH50*Assumptions!$AB65</f>
        <v>0</v>
      </c>
      <c r="BI51" s="54">
        <f>-BI50*Assumptions!$AB65</f>
        <v>0</v>
      </c>
      <c r="BJ51" s="54">
        <f>-BJ50*Assumptions!$AB65</f>
        <v>0</v>
      </c>
      <c r="BK51" s="54">
        <f>-BK50*Assumptions!$AB65</f>
        <v>0</v>
      </c>
      <c r="BL51" s="54">
        <f>-BL50*Assumptions!$AB65</f>
        <v>0</v>
      </c>
      <c r="BM51" s="54">
        <f>-BM50*Assumptions!$AB65</f>
        <v>0</v>
      </c>
      <c r="BN51" s="54">
        <f>-BN50*Assumptions!$AB65</f>
        <v>0</v>
      </c>
      <c r="BO51" s="54">
        <f>-BO50*Assumptions!$AB65</f>
        <v>0</v>
      </c>
      <c r="BP51" s="54">
        <f>-BP50*Assumptions!$AB65</f>
        <v>0</v>
      </c>
      <c r="BQ51" s="54">
        <f>-BQ50*Assumptions!$AB65</f>
        <v>0</v>
      </c>
      <c r="BR51" s="54">
        <f>-BR50*Assumptions!$AB65</f>
        <v>0</v>
      </c>
      <c r="BS51" s="54">
        <f>-BS50*Assumptions!$AB65</f>
        <v>0</v>
      </c>
      <c r="BT51" s="54">
        <f>-BT50*Assumptions!$AB65</f>
        <v>0</v>
      </c>
      <c r="BU51" s="54">
        <f>-BU50*Assumptions!$AB65</f>
        <v>0</v>
      </c>
      <c r="BV51" s="54">
        <f>-BV50*Assumptions!$AB65</f>
        <v>0</v>
      </c>
      <c r="BW51" s="54">
        <f>-BW50*Assumptions!$AB65</f>
        <v>0</v>
      </c>
      <c r="BX51" s="54">
        <f>-BX50*Assumptions!$AB65</f>
        <v>0</v>
      </c>
      <c r="BY51" s="54">
        <f>-BY50*Assumptions!$AB65</f>
        <v>0</v>
      </c>
      <c r="BZ51" s="54">
        <f>-BZ50*Assumptions!$AB65</f>
        <v>0</v>
      </c>
      <c r="CA51" s="54">
        <f>-CA50*Assumptions!$AB65</f>
        <v>0</v>
      </c>
      <c r="CB51" s="54">
        <f>-CB50*Assumptions!$AB65</f>
        <v>0</v>
      </c>
      <c r="CC51" s="54">
        <f>-CC50*Assumptions!$AB65</f>
        <v>0</v>
      </c>
      <c r="CD51" s="54">
        <f>-CD50*Assumptions!$AB65</f>
        <v>0</v>
      </c>
      <c r="CE51" s="54">
        <f>-CE50*Assumptions!$AB65</f>
        <v>0</v>
      </c>
      <c r="CF51" s="54">
        <f>-CF50*Assumptions!$AB65</f>
        <v>0</v>
      </c>
      <c r="CG51" s="54">
        <f>-CG50*Assumptions!$AB65</f>
        <v>0</v>
      </c>
      <c r="CH51" s="54">
        <f>-CH50*Assumptions!$AB65</f>
        <v>0</v>
      </c>
      <c r="CI51" s="54">
        <f>-CI50*Assumptions!$AB65</f>
        <v>0</v>
      </c>
      <c r="CJ51" s="54">
        <f>-CJ50*Assumptions!$AB65</f>
        <v>0</v>
      </c>
      <c r="CK51" s="54">
        <f>-CK50*Assumptions!$AB65</f>
        <v>0</v>
      </c>
      <c r="CL51" s="54">
        <f>-CL50*Assumptions!$AB65</f>
        <v>0</v>
      </c>
      <c r="CM51" s="54">
        <f>-CM50*Assumptions!$AB65</f>
        <v>0</v>
      </c>
      <c r="CN51" s="54">
        <f>-CN50*Assumptions!$AB65</f>
        <v>0</v>
      </c>
      <c r="CO51" s="54">
        <f>-CO50*Assumptions!$AB65</f>
        <v>0</v>
      </c>
      <c r="CP51" s="54">
        <f>-CP50*Assumptions!$AB65</f>
        <v>0</v>
      </c>
      <c r="CQ51" s="54">
        <f>-CQ50*Assumptions!$AB65</f>
        <v>0</v>
      </c>
      <c r="CR51" s="54">
        <f>-CR50*Assumptions!$AB65</f>
        <v>0</v>
      </c>
      <c r="CS51" s="54">
        <f>-CS50*Assumptions!$AB65</f>
        <v>0</v>
      </c>
      <c r="CT51" s="54">
        <f>-CT50*Assumptions!$AB65</f>
        <v>0</v>
      </c>
      <c r="CU51" s="54">
        <f>-CU50*Assumptions!$AB65</f>
        <v>0</v>
      </c>
      <c r="CV51" s="54">
        <f>-CV50*Assumptions!$AB65</f>
        <v>0</v>
      </c>
      <c r="CW51" s="54">
        <f>-CW50*Assumptions!$AB65</f>
        <v>0</v>
      </c>
      <c r="CX51" s="54">
        <f>-CX50*Assumptions!$AB65</f>
        <v>0</v>
      </c>
      <c r="CY51" s="54">
        <f>-CY50*Assumptions!$AB65</f>
        <v>0</v>
      </c>
      <c r="CZ51" s="54">
        <f>-CZ50*Assumptions!$AB65</f>
        <v>0</v>
      </c>
      <c r="DA51" s="54">
        <f>-DA50*Assumptions!$AB65</f>
        <v>0</v>
      </c>
      <c r="DB51" s="54">
        <f>-DB50*Assumptions!$AB65</f>
        <v>0</v>
      </c>
      <c r="DC51" s="54">
        <f>-DC50*Assumptions!$AB65</f>
        <v>0</v>
      </c>
      <c r="DD51" s="54">
        <f>-DD50*Assumptions!$AB65</f>
        <v>0</v>
      </c>
      <c r="DE51" s="54">
        <f>-DE50*Assumptions!$AB65</f>
        <v>0</v>
      </c>
      <c r="DF51" s="54">
        <f>-DF50*Assumptions!$AB65</f>
        <v>0</v>
      </c>
      <c r="DG51" s="54">
        <f>-DG50*Assumptions!$AB65</f>
        <v>0</v>
      </c>
      <c r="DH51" s="54">
        <f>-DH50*Assumptions!$AB65</f>
        <v>0</v>
      </c>
      <c r="DI51" s="54">
        <f>-DI50*Assumptions!$AB65</f>
        <v>0</v>
      </c>
      <c r="DJ51" s="54">
        <f>-DJ50*Assumptions!$AB65</f>
        <v>0</v>
      </c>
      <c r="DK51" s="54">
        <f>-DK50*Assumptions!$AB65</f>
        <v>0</v>
      </c>
      <c r="DL51" s="54">
        <f>-DL50*Assumptions!$AB65</f>
        <v>0</v>
      </c>
      <c r="DM51" s="54">
        <f>-DM50*Assumptions!$AB65</f>
        <v>0</v>
      </c>
      <c r="DN51" s="54">
        <f>-DN50*Assumptions!$AB65</f>
        <v>0</v>
      </c>
      <c r="DO51" s="54">
        <f>-DO50*Assumptions!$AB65</f>
        <v>0</v>
      </c>
      <c r="DP51" s="54">
        <f>-DP50*Assumptions!$AB65</f>
        <v>0</v>
      </c>
      <c r="DQ51" s="54">
        <f>-DQ50*Assumptions!$AB65</f>
        <v>0</v>
      </c>
      <c r="DR51" s="54">
        <f>-DR50*Assumptions!$AB65</f>
        <v>0</v>
      </c>
      <c r="DS51" s="54">
        <f>-DS50*Assumptions!$AB65</f>
        <v>-606157.6948</v>
      </c>
      <c r="DT51" s="54">
        <f>-DT50*Assumptions!$AB65</f>
        <v>0</v>
      </c>
      <c r="DU51" s="54">
        <f>-DU50*Assumptions!$AB65</f>
        <v>0</v>
      </c>
      <c r="DV51" s="54">
        <f>-DV50*Assumptions!$AB65</f>
        <v>0</v>
      </c>
      <c r="DW51" s="54">
        <f>-DW50*Assumptions!$AB65</f>
        <v>0</v>
      </c>
      <c r="DX51" s="54">
        <f>-DX50*Assumptions!$AB65</f>
        <v>0</v>
      </c>
      <c r="DY51" s="54">
        <f>-DY50*Assumptions!$AB65</f>
        <v>0</v>
      </c>
      <c r="DZ51" s="54">
        <f>-DZ50*Assumptions!$AB65</f>
        <v>0</v>
      </c>
      <c r="EA51" s="54">
        <f>-EA50*Assumptions!$AB65</f>
        <v>0</v>
      </c>
      <c r="EB51" s="54">
        <f>-EB50*Assumptions!$AB65</f>
        <v>0</v>
      </c>
      <c r="EC51" s="54">
        <f>-EC50*Assumptions!$AB65</f>
        <v>0</v>
      </c>
      <c r="ED51" s="54">
        <f>-ED50*Assumptions!$AB65</f>
        <v>0</v>
      </c>
      <c r="EE51" s="54">
        <f>-EE50*Assumptions!$AB65</f>
        <v>0</v>
      </c>
    </row>
    <row r="52" ht="15.75" customHeight="1">
      <c r="A52" s="1"/>
      <c r="B52" s="26"/>
      <c r="C52" s="26" t="s">
        <v>200</v>
      </c>
      <c r="D52" s="211">
        <f t="shared" ref="D52:EE52" si="10">-D47*IF(D50=0,0,1)</f>
        <v>0</v>
      </c>
      <c r="E52" s="211">
        <f t="shared" si="10"/>
        <v>0</v>
      </c>
      <c r="F52" s="211">
        <f t="shared" si="10"/>
        <v>0</v>
      </c>
      <c r="G52" s="211">
        <f t="shared" si="10"/>
        <v>0</v>
      </c>
      <c r="H52" s="211">
        <f t="shared" si="10"/>
        <v>0</v>
      </c>
      <c r="I52" s="211">
        <f t="shared" si="10"/>
        <v>0</v>
      </c>
      <c r="J52" s="211">
        <f t="shared" si="10"/>
        <v>0</v>
      </c>
      <c r="K52" s="211">
        <f t="shared" si="10"/>
        <v>0</v>
      </c>
      <c r="L52" s="211">
        <f t="shared" si="10"/>
        <v>0</v>
      </c>
      <c r="M52" s="211">
        <f t="shared" si="10"/>
        <v>0</v>
      </c>
      <c r="N52" s="211">
        <f t="shared" si="10"/>
        <v>0</v>
      </c>
      <c r="O52" s="211">
        <f t="shared" si="10"/>
        <v>0</v>
      </c>
      <c r="P52" s="211">
        <f t="shared" si="10"/>
        <v>0</v>
      </c>
      <c r="Q52" s="211">
        <f t="shared" si="10"/>
        <v>0</v>
      </c>
      <c r="R52" s="211">
        <f t="shared" si="10"/>
        <v>0</v>
      </c>
      <c r="S52" s="211">
        <f t="shared" si="10"/>
        <v>0</v>
      </c>
      <c r="T52" s="211">
        <f t="shared" si="10"/>
        <v>0</v>
      </c>
      <c r="U52" s="211">
        <f t="shared" si="10"/>
        <v>0</v>
      </c>
      <c r="V52" s="211">
        <f t="shared" si="10"/>
        <v>0</v>
      </c>
      <c r="W52" s="211">
        <f t="shared" si="10"/>
        <v>0</v>
      </c>
      <c r="X52" s="211">
        <f t="shared" si="10"/>
        <v>0</v>
      </c>
      <c r="Y52" s="211">
        <f t="shared" si="10"/>
        <v>0</v>
      </c>
      <c r="Z52" s="211">
        <f t="shared" si="10"/>
        <v>0</v>
      </c>
      <c r="AA52" s="211">
        <f t="shared" si="10"/>
        <v>0</v>
      </c>
      <c r="AB52" s="211">
        <f t="shared" si="10"/>
        <v>0</v>
      </c>
      <c r="AC52" s="211">
        <f t="shared" si="10"/>
        <v>0</v>
      </c>
      <c r="AD52" s="211">
        <f t="shared" si="10"/>
        <v>0</v>
      </c>
      <c r="AE52" s="211">
        <f t="shared" si="10"/>
        <v>0</v>
      </c>
      <c r="AF52" s="211">
        <f t="shared" si="10"/>
        <v>0</v>
      </c>
      <c r="AG52" s="211">
        <f t="shared" si="10"/>
        <v>0</v>
      </c>
      <c r="AH52" s="211">
        <f t="shared" si="10"/>
        <v>0</v>
      </c>
      <c r="AI52" s="211">
        <f t="shared" si="10"/>
        <v>0</v>
      </c>
      <c r="AJ52" s="211">
        <f t="shared" si="10"/>
        <v>0</v>
      </c>
      <c r="AK52" s="211">
        <f t="shared" si="10"/>
        <v>0</v>
      </c>
      <c r="AL52" s="211">
        <f t="shared" si="10"/>
        <v>0</v>
      </c>
      <c r="AM52" s="211">
        <f t="shared" si="10"/>
        <v>0</v>
      </c>
      <c r="AN52" s="211">
        <f t="shared" si="10"/>
        <v>0</v>
      </c>
      <c r="AO52" s="211">
        <f t="shared" si="10"/>
        <v>0</v>
      </c>
      <c r="AP52" s="211">
        <f t="shared" si="10"/>
        <v>0</v>
      </c>
      <c r="AQ52" s="211">
        <f t="shared" si="10"/>
        <v>0</v>
      </c>
      <c r="AR52" s="211">
        <f t="shared" si="10"/>
        <v>0</v>
      </c>
      <c r="AS52" s="211">
        <f t="shared" si="10"/>
        <v>0</v>
      </c>
      <c r="AT52" s="211">
        <f t="shared" si="10"/>
        <v>0</v>
      </c>
      <c r="AU52" s="211">
        <f t="shared" si="10"/>
        <v>0</v>
      </c>
      <c r="AV52" s="211">
        <f t="shared" si="10"/>
        <v>0</v>
      </c>
      <c r="AW52" s="211">
        <f t="shared" si="10"/>
        <v>0</v>
      </c>
      <c r="AX52" s="211">
        <f t="shared" si="10"/>
        <v>0</v>
      </c>
      <c r="AY52" s="211">
        <f t="shared" si="10"/>
        <v>0</v>
      </c>
      <c r="AZ52" s="211">
        <f t="shared" si="10"/>
        <v>0</v>
      </c>
      <c r="BA52" s="211">
        <f t="shared" si="10"/>
        <v>0</v>
      </c>
      <c r="BB52" s="211">
        <f t="shared" si="10"/>
        <v>0</v>
      </c>
      <c r="BC52" s="211">
        <f t="shared" si="10"/>
        <v>0</v>
      </c>
      <c r="BD52" s="211">
        <f t="shared" si="10"/>
        <v>0</v>
      </c>
      <c r="BE52" s="211">
        <f t="shared" si="10"/>
        <v>0</v>
      </c>
      <c r="BF52" s="211">
        <f t="shared" si="10"/>
        <v>0</v>
      </c>
      <c r="BG52" s="211">
        <f t="shared" si="10"/>
        <v>0</v>
      </c>
      <c r="BH52" s="211">
        <f t="shared" si="10"/>
        <v>0</v>
      </c>
      <c r="BI52" s="211">
        <f t="shared" si="10"/>
        <v>0</v>
      </c>
      <c r="BJ52" s="211">
        <f t="shared" si="10"/>
        <v>0</v>
      </c>
      <c r="BK52" s="211">
        <f t="shared" si="10"/>
        <v>0</v>
      </c>
      <c r="BL52" s="211">
        <f t="shared" si="10"/>
        <v>0</v>
      </c>
      <c r="BM52" s="211">
        <f t="shared" si="10"/>
        <v>0</v>
      </c>
      <c r="BN52" s="211">
        <f t="shared" si="10"/>
        <v>0</v>
      </c>
      <c r="BO52" s="211">
        <f t="shared" si="10"/>
        <v>0</v>
      </c>
      <c r="BP52" s="211">
        <f t="shared" si="10"/>
        <v>0</v>
      </c>
      <c r="BQ52" s="211">
        <f t="shared" si="10"/>
        <v>0</v>
      </c>
      <c r="BR52" s="211">
        <f t="shared" si="10"/>
        <v>0</v>
      </c>
      <c r="BS52" s="211">
        <f t="shared" si="10"/>
        <v>0</v>
      </c>
      <c r="BT52" s="211">
        <f t="shared" si="10"/>
        <v>0</v>
      </c>
      <c r="BU52" s="211">
        <f t="shared" si="10"/>
        <v>0</v>
      </c>
      <c r="BV52" s="211">
        <f t="shared" si="10"/>
        <v>0</v>
      </c>
      <c r="BW52" s="211">
        <f t="shared" si="10"/>
        <v>0</v>
      </c>
      <c r="BX52" s="211">
        <f t="shared" si="10"/>
        <v>0</v>
      </c>
      <c r="BY52" s="211">
        <f t="shared" si="10"/>
        <v>0</v>
      </c>
      <c r="BZ52" s="211">
        <f t="shared" si="10"/>
        <v>0</v>
      </c>
      <c r="CA52" s="211">
        <f t="shared" si="10"/>
        <v>0</v>
      </c>
      <c r="CB52" s="211">
        <f t="shared" si="10"/>
        <v>0</v>
      </c>
      <c r="CC52" s="211">
        <f t="shared" si="10"/>
        <v>0</v>
      </c>
      <c r="CD52" s="211">
        <f t="shared" si="10"/>
        <v>0</v>
      </c>
      <c r="CE52" s="211">
        <f t="shared" si="10"/>
        <v>0</v>
      </c>
      <c r="CF52" s="211">
        <f t="shared" si="10"/>
        <v>0</v>
      </c>
      <c r="CG52" s="211">
        <f t="shared" si="10"/>
        <v>0</v>
      </c>
      <c r="CH52" s="211">
        <f t="shared" si="10"/>
        <v>0</v>
      </c>
      <c r="CI52" s="211">
        <f t="shared" si="10"/>
        <v>0</v>
      </c>
      <c r="CJ52" s="211">
        <f t="shared" si="10"/>
        <v>0</v>
      </c>
      <c r="CK52" s="211">
        <f t="shared" si="10"/>
        <v>0</v>
      </c>
      <c r="CL52" s="211">
        <f t="shared" si="10"/>
        <v>0</v>
      </c>
      <c r="CM52" s="211">
        <f t="shared" si="10"/>
        <v>0</v>
      </c>
      <c r="CN52" s="211">
        <f t="shared" si="10"/>
        <v>0</v>
      </c>
      <c r="CO52" s="211">
        <f t="shared" si="10"/>
        <v>0</v>
      </c>
      <c r="CP52" s="211">
        <f t="shared" si="10"/>
        <v>0</v>
      </c>
      <c r="CQ52" s="211">
        <f t="shared" si="10"/>
        <v>0</v>
      </c>
      <c r="CR52" s="211">
        <f t="shared" si="10"/>
        <v>0</v>
      </c>
      <c r="CS52" s="211">
        <f t="shared" si="10"/>
        <v>0</v>
      </c>
      <c r="CT52" s="211">
        <f t="shared" si="10"/>
        <v>0</v>
      </c>
      <c r="CU52" s="211">
        <f t="shared" si="10"/>
        <v>0</v>
      </c>
      <c r="CV52" s="211">
        <f t="shared" si="10"/>
        <v>0</v>
      </c>
      <c r="CW52" s="211">
        <f t="shared" si="10"/>
        <v>0</v>
      </c>
      <c r="CX52" s="211">
        <f t="shared" si="10"/>
        <v>0</v>
      </c>
      <c r="CY52" s="211">
        <f t="shared" si="10"/>
        <v>0</v>
      </c>
      <c r="CZ52" s="211">
        <f t="shared" si="10"/>
        <v>0</v>
      </c>
      <c r="DA52" s="211">
        <f t="shared" si="10"/>
        <v>0</v>
      </c>
      <c r="DB52" s="211">
        <f t="shared" si="10"/>
        <v>0</v>
      </c>
      <c r="DC52" s="211">
        <f t="shared" si="10"/>
        <v>0</v>
      </c>
      <c r="DD52" s="211">
        <f t="shared" si="10"/>
        <v>0</v>
      </c>
      <c r="DE52" s="211">
        <f t="shared" si="10"/>
        <v>0</v>
      </c>
      <c r="DF52" s="211">
        <f t="shared" si="10"/>
        <v>0</v>
      </c>
      <c r="DG52" s="211">
        <f t="shared" si="10"/>
        <v>0</v>
      </c>
      <c r="DH52" s="211">
        <f t="shared" si="10"/>
        <v>0</v>
      </c>
      <c r="DI52" s="211">
        <f t="shared" si="10"/>
        <v>0</v>
      </c>
      <c r="DJ52" s="211">
        <f t="shared" si="10"/>
        <v>0</v>
      </c>
      <c r="DK52" s="211">
        <f t="shared" si="10"/>
        <v>0</v>
      </c>
      <c r="DL52" s="211">
        <f t="shared" si="10"/>
        <v>0</v>
      </c>
      <c r="DM52" s="211">
        <f t="shared" si="10"/>
        <v>0</v>
      </c>
      <c r="DN52" s="211">
        <f t="shared" si="10"/>
        <v>0</v>
      </c>
      <c r="DO52" s="211">
        <f t="shared" si="10"/>
        <v>0</v>
      </c>
      <c r="DP52" s="211">
        <f t="shared" si="10"/>
        <v>0</v>
      </c>
      <c r="DQ52" s="211">
        <f t="shared" si="10"/>
        <v>0</v>
      </c>
      <c r="DR52" s="211">
        <f t="shared" si="10"/>
        <v>0</v>
      </c>
      <c r="DS52" s="211">
        <f t="shared" si="10"/>
        <v>-11631456.44</v>
      </c>
      <c r="DT52" s="211">
        <f t="shared" si="10"/>
        <v>0</v>
      </c>
      <c r="DU52" s="211">
        <f t="shared" si="10"/>
        <v>0</v>
      </c>
      <c r="DV52" s="211">
        <f t="shared" si="10"/>
        <v>0</v>
      </c>
      <c r="DW52" s="211">
        <f t="shared" si="10"/>
        <v>0</v>
      </c>
      <c r="DX52" s="211">
        <f t="shared" si="10"/>
        <v>0</v>
      </c>
      <c r="DY52" s="211">
        <f t="shared" si="10"/>
        <v>0</v>
      </c>
      <c r="DZ52" s="211">
        <f t="shared" si="10"/>
        <v>0</v>
      </c>
      <c r="EA52" s="211">
        <f t="shared" si="10"/>
        <v>0</v>
      </c>
      <c r="EB52" s="211">
        <f t="shared" si="10"/>
        <v>0</v>
      </c>
      <c r="EC52" s="211">
        <f t="shared" si="10"/>
        <v>0</v>
      </c>
      <c r="ED52" s="211">
        <f t="shared" si="10"/>
        <v>0</v>
      </c>
      <c r="EE52" s="211">
        <f t="shared" si="10"/>
        <v>0</v>
      </c>
    </row>
    <row r="53" ht="15.75" customHeight="1">
      <c r="A53" s="1"/>
      <c r="B53" s="47"/>
      <c r="C53" s="47" t="s">
        <v>151</v>
      </c>
      <c r="D53" s="213">
        <f t="shared" ref="D53:EE53" si="11">SUM(D50:D52)</f>
        <v>0</v>
      </c>
      <c r="E53" s="213">
        <f t="shared" si="11"/>
        <v>0</v>
      </c>
      <c r="F53" s="213">
        <f t="shared" si="11"/>
        <v>0</v>
      </c>
      <c r="G53" s="213">
        <f t="shared" si="11"/>
        <v>0</v>
      </c>
      <c r="H53" s="213">
        <f t="shared" si="11"/>
        <v>0</v>
      </c>
      <c r="I53" s="213">
        <f t="shared" si="11"/>
        <v>0</v>
      </c>
      <c r="J53" s="213">
        <f t="shared" si="11"/>
        <v>0</v>
      </c>
      <c r="K53" s="213">
        <f t="shared" si="11"/>
        <v>0</v>
      </c>
      <c r="L53" s="213">
        <f t="shared" si="11"/>
        <v>0</v>
      </c>
      <c r="M53" s="213">
        <f t="shared" si="11"/>
        <v>0</v>
      </c>
      <c r="N53" s="213">
        <f t="shared" si="11"/>
        <v>0</v>
      </c>
      <c r="O53" s="213">
        <f t="shared" si="11"/>
        <v>0</v>
      </c>
      <c r="P53" s="213">
        <f t="shared" si="11"/>
        <v>0</v>
      </c>
      <c r="Q53" s="213">
        <f t="shared" si="11"/>
        <v>0</v>
      </c>
      <c r="R53" s="213">
        <f t="shared" si="11"/>
        <v>0</v>
      </c>
      <c r="S53" s="213">
        <f t="shared" si="11"/>
        <v>0</v>
      </c>
      <c r="T53" s="213">
        <f t="shared" si="11"/>
        <v>0</v>
      </c>
      <c r="U53" s="213">
        <f t="shared" si="11"/>
        <v>0</v>
      </c>
      <c r="V53" s="213">
        <f t="shared" si="11"/>
        <v>0</v>
      </c>
      <c r="W53" s="213">
        <f t="shared" si="11"/>
        <v>0</v>
      </c>
      <c r="X53" s="213">
        <f t="shared" si="11"/>
        <v>0</v>
      </c>
      <c r="Y53" s="213">
        <f t="shared" si="11"/>
        <v>0</v>
      </c>
      <c r="Z53" s="213">
        <f t="shared" si="11"/>
        <v>0</v>
      </c>
      <c r="AA53" s="213">
        <f t="shared" si="11"/>
        <v>0</v>
      </c>
      <c r="AB53" s="213">
        <f t="shared" si="11"/>
        <v>0</v>
      </c>
      <c r="AC53" s="213">
        <f t="shared" si="11"/>
        <v>0</v>
      </c>
      <c r="AD53" s="213">
        <f t="shared" si="11"/>
        <v>0</v>
      </c>
      <c r="AE53" s="213">
        <f t="shared" si="11"/>
        <v>0</v>
      </c>
      <c r="AF53" s="213">
        <f t="shared" si="11"/>
        <v>0</v>
      </c>
      <c r="AG53" s="213">
        <f t="shared" si="11"/>
        <v>0</v>
      </c>
      <c r="AH53" s="213">
        <f t="shared" si="11"/>
        <v>0</v>
      </c>
      <c r="AI53" s="213">
        <f t="shared" si="11"/>
        <v>0</v>
      </c>
      <c r="AJ53" s="213">
        <f t="shared" si="11"/>
        <v>0</v>
      </c>
      <c r="AK53" s="213">
        <f t="shared" si="11"/>
        <v>0</v>
      </c>
      <c r="AL53" s="213">
        <f t="shared" si="11"/>
        <v>0</v>
      </c>
      <c r="AM53" s="213">
        <f t="shared" si="11"/>
        <v>0</v>
      </c>
      <c r="AN53" s="213">
        <f t="shared" si="11"/>
        <v>0</v>
      </c>
      <c r="AO53" s="213">
        <f t="shared" si="11"/>
        <v>0</v>
      </c>
      <c r="AP53" s="213">
        <f t="shared" si="11"/>
        <v>0</v>
      </c>
      <c r="AQ53" s="213">
        <f t="shared" si="11"/>
        <v>0</v>
      </c>
      <c r="AR53" s="213">
        <f t="shared" si="11"/>
        <v>0</v>
      </c>
      <c r="AS53" s="213">
        <f t="shared" si="11"/>
        <v>0</v>
      </c>
      <c r="AT53" s="213">
        <f t="shared" si="11"/>
        <v>0</v>
      </c>
      <c r="AU53" s="213">
        <f t="shared" si="11"/>
        <v>0</v>
      </c>
      <c r="AV53" s="213">
        <f t="shared" si="11"/>
        <v>0</v>
      </c>
      <c r="AW53" s="213">
        <f t="shared" si="11"/>
        <v>0</v>
      </c>
      <c r="AX53" s="213">
        <f t="shared" si="11"/>
        <v>0</v>
      </c>
      <c r="AY53" s="213">
        <f t="shared" si="11"/>
        <v>0</v>
      </c>
      <c r="AZ53" s="213">
        <f t="shared" si="11"/>
        <v>0</v>
      </c>
      <c r="BA53" s="213">
        <f t="shared" si="11"/>
        <v>0</v>
      </c>
      <c r="BB53" s="213">
        <f t="shared" si="11"/>
        <v>0</v>
      </c>
      <c r="BC53" s="213">
        <f t="shared" si="11"/>
        <v>0</v>
      </c>
      <c r="BD53" s="213">
        <f t="shared" si="11"/>
        <v>0</v>
      </c>
      <c r="BE53" s="213">
        <f t="shared" si="11"/>
        <v>0</v>
      </c>
      <c r="BF53" s="213">
        <f t="shared" si="11"/>
        <v>0</v>
      </c>
      <c r="BG53" s="213">
        <f t="shared" si="11"/>
        <v>0</v>
      </c>
      <c r="BH53" s="213">
        <f t="shared" si="11"/>
        <v>0</v>
      </c>
      <c r="BI53" s="213">
        <f t="shared" si="11"/>
        <v>0</v>
      </c>
      <c r="BJ53" s="213">
        <f t="shared" si="11"/>
        <v>0</v>
      </c>
      <c r="BK53" s="213">
        <f t="shared" si="11"/>
        <v>0</v>
      </c>
      <c r="BL53" s="213">
        <f t="shared" si="11"/>
        <v>0</v>
      </c>
      <c r="BM53" s="213">
        <f t="shared" si="11"/>
        <v>0</v>
      </c>
      <c r="BN53" s="213">
        <f t="shared" si="11"/>
        <v>0</v>
      </c>
      <c r="BO53" s="213">
        <f t="shared" si="11"/>
        <v>0</v>
      </c>
      <c r="BP53" s="213">
        <f t="shared" si="11"/>
        <v>0</v>
      </c>
      <c r="BQ53" s="213">
        <f t="shared" si="11"/>
        <v>0</v>
      </c>
      <c r="BR53" s="213">
        <f t="shared" si="11"/>
        <v>0</v>
      </c>
      <c r="BS53" s="213">
        <f t="shared" si="11"/>
        <v>0</v>
      </c>
      <c r="BT53" s="213">
        <f t="shared" si="11"/>
        <v>0</v>
      </c>
      <c r="BU53" s="213">
        <f t="shared" si="11"/>
        <v>0</v>
      </c>
      <c r="BV53" s="213">
        <f t="shared" si="11"/>
        <v>0</v>
      </c>
      <c r="BW53" s="213">
        <f t="shared" si="11"/>
        <v>0</v>
      </c>
      <c r="BX53" s="213">
        <f t="shared" si="11"/>
        <v>0</v>
      </c>
      <c r="BY53" s="213">
        <f t="shared" si="11"/>
        <v>0</v>
      </c>
      <c r="BZ53" s="213">
        <f t="shared" si="11"/>
        <v>0</v>
      </c>
      <c r="CA53" s="213">
        <f t="shared" si="11"/>
        <v>0</v>
      </c>
      <c r="CB53" s="213">
        <f t="shared" si="11"/>
        <v>0</v>
      </c>
      <c r="CC53" s="213">
        <f t="shared" si="11"/>
        <v>0</v>
      </c>
      <c r="CD53" s="213">
        <f t="shared" si="11"/>
        <v>0</v>
      </c>
      <c r="CE53" s="213">
        <f t="shared" si="11"/>
        <v>0</v>
      </c>
      <c r="CF53" s="213">
        <f t="shared" si="11"/>
        <v>0</v>
      </c>
      <c r="CG53" s="213">
        <f t="shared" si="11"/>
        <v>0</v>
      </c>
      <c r="CH53" s="213">
        <f t="shared" si="11"/>
        <v>0</v>
      </c>
      <c r="CI53" s="213">
        <f t="shared" si="11"/>
        <v>0</v>
      </c>
      <c r="CJ53" s="213">
        <f t="shared" si="11"/>
        <v>0</v>
      </c>
      <c r="CK53" s="213">
        <f t="shared" si="11"/>
        <v>0</v>
      </c>
      <c r="CL53" s="213">
        <f t="shared" si="11"/>
        <v>0</v>
      </c>
      <c r="CM53" s="213">
        <f t="shared" si="11"/>
        <v>0</v>
      </c>
      <c r="CN53" s="213">
        <f t="shared" si="11"/>
        <v>0</v>
      </c>
      <c r="CO53" s="213">
        <f t="shared" si="11"/>
        <v>0</v>
      </c>
      <c r="CP53" s="213">
        <f t="shared" si="11"/>
        <v>0</v>
      </c>
      <c r="CQ53" s="213">
        <f t="shared" si="11"/>
        <v>0</v>
      </c>
      <c r="CR53" s="213">
        <f t="shared" si="11"/>
        <v>0</v>
      </c>
      <c r="CS53" s="213">
        <f t="shared" si="11"/>
        <v>0</v>
      </c>
      <c r="CT53" s="213">
        <f t="shared" si="11"/>
        <v>0</v>
      </c>
      <c r="CU53" s="213">
        <f t="shared" si="11"/>
        <v>0</v>
      </c>
      <c r="CV53" s="213">
        <f t="shared" si="11"/>
        <v>0</v>
      </c>
      <c r="CW53" s="213">
        <f t="shared" si="11"/>
        <v>0</v>
      </c>
      <c r="CX53" s="213">
        <f t="shared" si="11"/>
        <v>0</v>
      </c>
      <c r="CY53" s="213">
        <f t="shared" si="11"/>
        <v>0</v>
      </c>
      <c r="CZ53" s="213">
        <f t="shared" si="11"/>
        <v>0</v>
      </c>
      <c r="DA53" s="213">
        <f t="shared" si="11"/>
        <v>0</v>
      </c>
      <c r="DB53" s="213">
        <f t="shared" si="11"/>
        <v>0</v>
      </c>
      <c r="DC53" s="213">
        <f t="shared" si="11"/>
        <v>0</v>
      </c>
      <c r="DD53" s="213">
        <f t="shared" si="11"/>
        <v>0</v>
      </c>
      <c r="DE53" s="213">
        <f t="shared" si="11"/>
        <v>0</v>
      </c>
      <c r="DF53" s="213">
        <f t="shared" si="11"/>
        <v>0</v>
      </c>
      <c r="DG53" s="213">
        <f t="shared" si="11"/>
        <v>0</v>
      </c>
      <c r="DH53" s="213">
        <f t="shared" si="11"/>
        <v>0</v>
      </c>
      <c r="DI53" s="213">
        <f t="shared" si="11"/>
        <v>0</v>
      </c>
      <c r="DJ53" s="213">
        <f t="shared" si="11"/>
        <v>0</v>
      </c>
      <c r="DK53" s="213">
        <f t="shared" si="11"/>
        <v>0</v>
      </c>
      <c r="DL53" s="213">
        <f t="shared" si="11"/>
        <v>0</v>
      </c>
      <c r="DM53" s="213">
        <f t="shared" si="11"/>
        <v>0</v>
      </c>
      <c r="DN53" s="213">
        <f t="shared" si="11"/>
        <v>0</v>
      </c>
      <c r="DO53" s="213">
        <f t="shared" si="11"/>
        <v>0</v>
      </c>
      <c r="DP53" s="213">
        <f t="shared" si="11"/>
        <v>0</v>
      </c>
      <c r="DQ53" s="213">
        <f t="shared" si="11"/>
        <v>0</v>
      </c>
      <c r="DR53" s="213">
        <f t="shared" si="11"/>
        <v>0</v>
      </c>
      <c r="DS53" s="213">
        <f t="shared" si="11"/>
        <v>18070270.61</v>
      </c>
      <c r="DT53" s="213">
        <f t="shared" si="11"/>
        <v>0</v>
      </c>
      <c r="DU53" s="213">
        <f t="shared" si="11"/>
        <v>0</v>
      </c>
      <c r="DV53" s="213">
        <f t="shared" si="11"/>
        <v>0</v>
      </c>
      <c r="DW53" s="213">
        <f t="shared" si="11"/>
        <v>0</v>
      </c>
      <c r="DX53" s="213">
        <f t="shared" si="11"/>
        <v>0</v>
      </c>
      <c r="DY53" s="213">
        <f t="shared" si="11"/>
        <v>0</v>
      </c>
      <c r="DZ53" s="213">
        <f t="shared" si="11"/>
        <v>0</v>
      </c>
      <c r="EA53" s="213">
        <f t="shared" si="11"/>
        <v>0</v>
      </c>
      <c r="EB53" s="213">
        <f t="shared" si="11"/>
        <v>0</v>
      </c>
      <c r="EC53" s="213">
        <f t="shared" si="11"/>
        <v>0</v>
      </c>
      <c r="ED53" s="213">
        <f t="shared" si="11"/>
        <v>0</v>
      </c>
      <c r="EE53" s="213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152</v>
      </c>
      <c r="D55" s="54">
        <f>(D38-D46)*IF(D1&gt;Assumptions!$AB$68*12,0,1)</f>
        <v>99381.45282</v>
      </c>
      <c r="E55" s="54">
        <f>(E38-E46)*IF(E1&gt;Assumptions!$AB$68*12,0,1)</f>
        <v>99381.45282</v>
      </c>
      <c r="F55" s="54">
        <f>(F38-F46)*IF(F1&gt;Assumptions!$AB$68*12,0,1)</f>
        <v>99381.45282</v>
      </c>
      <c r="G55" s="54">
        <f>(G38-G46)*IF(G1&gt;Assumptions!$AB$68*12,0,1)</f>
        <v>99381.45282</v>
      </c>
      <c r="H55" s="54">
        <f>(H38-H46)*IF(H1&gt;Assumptions!$AB$68*12,0,1)</f>
        <v>99381.45282</v>
      </c>
      <c r="I55" s="54">
        <f>(I38-I46)*IF(I1&gt;Assumptions!$AB$68*12,0,1)</f>
        <v>99381.45282</v>
      </c>
      <c r="J55" s="54">
        <f>(J38-J46)*IF(J1&gt;Assumptions!$AB$68*12,0,1)</f>
        <v>99381.45282</v>
      </c>
      <c r="K55" s="54">
        <f>(K38-K46)*IF(K1&gt;Assumptions!$AB$68*12,0,1)</f>
        <v>99381.45282</v>
      </c>
      <c r="L55" s="54">
        <f>(L38-L46)*IF(L1&gt;Assumptions!$AB$68*12,0,1)</f>
        <v>99381.45282</v>
      </c>
      <c r="M55" s="54">
        <f>(M38-M46)*IF(M1&gt;Assumptions!$AB$68*12,0,1)</f>
        <v>99381.45282</v>
      </c>
      <c r="N55" s="54">
        <f>(N38-N46)*IF(N1&gt;Assumptions!$AB$68*12,0,1)</f>
        <v>99381.45282</v>
      </c>
      <c r="O55" s="54">
        <f>(O38-O46)*IF(O1&gt;Assumptions!$AB$68*12,0,1)</f>
        <v>99381.45282</v>
      </c>
      <c r="P55" s="54">
        <f>(P38-P46)*IF(P1&gt;Assumptions!$AB$68*12,0,1)</f>
        <v>116142.3499</v>
      </c>
      <c r="Q55" s="54">
        <f>(Q38-Q46)*IF(Q1&gt;Assumptions!$AB$68*12,0,1)</f>
        <v>116142.3499</v>
      </c>
      <c r="R55" s="54">
        <f>(R38-R46)*IF(R1&gt;Assumptions!$AB$68*12,0,1)</f>
        <v>116142.3499</v>
      </c>
      <c r="S55" s="54">
        <f>(S38-S46)*IF(S1&gt;Assumptions!$AB$68*12,0,1)</f>
        <v>116142.3499</v>
      </c>
      <c r="T55" s="54">
        <f>(T38-T46)*IF(T1&gt;Assumptions!$AB$68*12,0,1)</f>
        <v>116142.3499</v>
      </c>
      <c r="U55" s="54">
        <f>(U38-U46)*IF(U1&gt;Assumptions!$AB$68*12,0,1)</f>
        <v>116142.3499</v>
      </c>
      <c r="V55" s="54">
        <f>(V38-V46)*IF(V1&gt;Assumptions!$AB$68*12,0,1)</f>
        <v>116142.3499</v>
      </c>
      <c r="W55" s="54">
        <f>(W38-W46)*IF(W1&gt;Assumptions!$AB$68*12,0,1)</f>
        <v>116142.3499</v>
      </c>
      <c r="X55" s="54">
        <f>(X38-X46)*IF(X1&gt;Assumptions!$AB$68*12,0,1)</f>
        <v>116142.3499</v>
      </c>
      <c r="Y55" s="54">
        <f>(Y38-Y46)*IF(Y1&gt;Assumptions!$AB$68*12,0,1)</f>
        <v>116142.3499</v>
      </c>
      <c r="Z55" s="54">
        <f>(Z38-Z46)*IF(Z1&gt;Assumptions!$AB$68*12,0,1)</f>
        <v>116142.3499</v>
      </c>
      <c r="AA55" s="54">
        <f>(AA38-AA46)*IF(AA1&gt;Assumptions!$AB$68*12,0,1)</f>
        <v>116142.3499</v>
      </c>
      <c r="AB55" s="54">
        <f>(AB38-AB46)*IF(AB1&gt;Assumptions!$AB$68*12,0,1)</f>
        <v>119626.6204</v>
      </c>
      <c r="AC55" s="54">
        <f>(AC38-AC46)*IF(AC1&gt;Assumptions!$AB$68*12,0,1)</f>
        <v>119626.6204</v>
      </c>
      <c r="AD55" s="54">
        <f>(AD38-AD46)*IF(AD1&gt;Assumptions!$AB$68*12,0,1)</f>
        <v>119626.6204</v>
      </c>
      <c r="AE55" s="54">
        <f>(AE38-AE46)*IF(AE1&gt;Assumptions!$AB$68*12,0,1)</f>
        <v>119626.6204</v>
      </c>
      <c r="AF55" s="54">
        <f>(AF38-AF46)*IF(AF1&gt;Assumptions!$AB$68*12,0,1)</f>
        <v>119626.6204</v>
      </c>
      <c r="AG55" s="54">
        <f>(AG38-AG46)*IF(AG1&gt;Assumptions!$AB$68*12,0,1)</f>
        <v>119626.6204</v>
      </c>
      <c r="AH55" s="54">
        <f>(AH38-AH46)*IF(AH1&gt;Assumptions!$AB$68*12,0,1)</f>
        <v>119626.6204</v>
      </c>
      <c r="AI55" s="54">
        <f>(AI38-AI46)*IF(AI1&gt;Assumptions!$AB$68*12,0,1)</f>
        <v>119626.6204</v>
      </c>
      <c r="AJ55" s="54">
        <f>(AJ38-AJ46)*IF(AJ1&gt;Assumptions!$AB$68*12,0,1)</f>
        <v>119626.6204</v>
      </c>
      <c r="AK55" s="54">
        <f>(AK38-AK46)*IF(AK1&gt;Assumptions!$AB$68*12,0,1)</f>
        <v>119626.6204</v>
      </c>
      <c r="AL55" s="54">
        <f>(AL38-AL46)*IF(AL1&gt;Assumptions!$AB$68*12,0,1)</f>
        <v>119626.6204</v>
      </c>
      <c r="AM55" s="54">
        <f>(AM38-AM46)*IF(AM1&gt;Assumptions!$AB$68*12,0,1)</f>
        <v>119626.6204</v>
      </c>
      <c r="AN55" s="54">
        <f>(AN38-AN46)*IF(AN1&gt;Assumptions!$AB$68*12,0,1)</f>
        <v>47628.16379</v>
      </c>
      <c r="AO55" s="54">
        <f>(AO38-AO46)*IF(AO1&gt;Assumptions!$AB$68*12,0,1)</f>
        <v>47628.16379</v>
      </c>
      <c r="AP55" s="54">
        <f>(AP38-AP46)*IF(AP1&gt;Assumptions!$AB$68*12,0,1)</f>
        <v>47628.16379</v>
      </c>
      <c r="AQ55" s="54">
        <f>(AQ38-AQ46)*IF(AQ1&gt;Assumptions!$AB$68*12,0,1)</f>
        <v>47628.16379</v>
      </c>
      <c r="AR55" s="54">
        <f>(AR38-AR46)*IF(AR1&gt;Assumptions!$AB$68*12,0,1)</f>
        <v>47628.16379</v>
      </c>
      <c r="AS55" s="54">
        <f>(AS38-AS46)*IF(AS1&gt;Assumptions!$AB$68*12,0,1)</f>
        <v>47628.16379</v>
      </c>
      <c r="AT55" s="54">
        <f>(AT38-AT46)*IF(AT1&gt;Assumptions!$AB$68*12,0,1)</f>
        <v>47628.16379</v>
      </c>
      <c r="AU55" s="54">
        <f>(AU38-AU46)*IF(AU1&gt;Assumptions!$AB$68*12,0,1)</f>
        <v>47628.16379</v>
      </c>
      <c r="AV55" s="54">
        <f>(AV38-AV46)*IF(AV1&gt;Assumptions!$AB$68*12,0,1)</f>
        <v>47628.16379</v>
      </c>
      <c r="AW55" s="54">
        <f>(AW38-AW46)*IF(AW1&gt;Assumptions!$AB$68*12,0,1)</f>
        <v>47628.16379</v>
      </c>
      <c r="AX55" s="54">
        <f>(AX38-AX46)*IF(AX1&gt;Assumptions!$AB$68*12,0,1)</f>
        <v>47628.16379</v>
      </c>
      <c r="AY55" s="54">
        <f>(AY38-AY46)*IF(AY1&gt;Assumptions!$AB$68*12,0,1)</f>
        <v>47628.16379</v>
      </c>
      <c r="AZ55" s="54">
        <f>(AZ38-AZ46)*IF(AZ1&gt;Assumptions!$AB$68*12,0,1)</f>
        <v>51324.62636</v>
      </c>
      <c r="BA55" s="54">
        <f>(BA38-BA46)*IF(BA1&gt;Assumptions!$AB$68*12,0,1)</f>
        <v>51324.62636</v>
      </c>
      <c r="BB55" s="54">
        <f>(BB38-BB46)*IF(BB1&gt;Assumptions!$AB$68*12,0,1)</f>
        <v>51324.62636</v>
      </c>
      <c r="BC55" s="54">
        <f>(BC38-BC46)*IF(BC1&gt;Assumptions!$AB$68*12,0,1)</f>
        <v>51324.62636</v>
      </c>
      <c r="BD55" s="54">
        <f>(BD38-BD46)*IF(BD1&gt;Assumptions!$AB$68*12,0,1)</f>
        <v>51324.62636</v>
      </c>
      <c r="BE55" s="54">
        <f>(BE38-BE46)*IF(BE1&gt;Assumptions!$AB$68*12,0,1)</f>
        <v>51324.62636</v>
      </c>
      <c r="BF55" s="54">
        <f>(BF38-BF46)*IF(BF1&gt;Assumptions!$AB$68*12,0,1)</f>
        <v>51324.62636</v>
      </c>
      <c r="BG55" s="54">
        <f>(BG38-BG46)*IF(BG1&gt;Assumptions!$AB$68*12,0,1)</f>
        <v>51324.62636</v>
      </c>
      <c r="BH55" s="54">
        <f>(BH38-BH46)*IF(BH1&gt;Assumptions!$AB$68*12,0,1)</f>
        <v>51324.62636</v>
      </c>
      <c r="BI55" s="54">
        <f>(BI38-BI46)*IF(BI1&gt;Assumptions!$AB$68*12,0,1)</f>
        <v>51324.62636</v>
      </c>
      <c r="BJ55" s="54">
        <f>(BJ38-BJ46)*IF(BJ1&gt;Assumptions!$AB$68*12,0,1)</f>
        <v>51324.62636</v>
      </c>
      <c r="BK55" s="54">
        <f>(BK38-BK46)*IF(BK1&gt;Assumptions!$AB$68*12,0,1)</f>
        <v>51324.62636</v>
      </c>
      <c r="BL55" s="54">
        <f>(BL38-BL46)*IF(BL1&gt;Assumptions!$AB$68*12,0,1)</f>
        <v>55131.9828</v>
      </c>
      <c r="BM55" s="54">
        <f>(BM38-BM46)*IF(BM1&gt;Assumptions!$AB$68*12,0,1)</f>
        <v>55131.9828</v>
      </c>
      <c r="BN55" s="54">
        <f>(BN38-BN46)*IF(BN1&gt;Assumptions!$AB$68*12,0,1)</f>
        <v>55131.9828</v>
      </c>
      <c r="BO55" s="54">
        <f>(BO38-BO46)*IF(BO1&gt;Assumptions!$AB$68*12,0,1)</f>
        <v>55131.9828</v>
      </c>
      <c r="BP55" s="54">
        <f>(BP38-BP46)*IF(BP1&gt;Assumptions!$AB$68*12,0,1)</f>
        <v>55131.9828</v>
      </c>
      <c r="BQ55" s="54">
        <f>(BQ38-BQ46)*IF(BQ1&gt;Assumptions!$AB$68*12,0,1)</f>
        <v>55131.9828</v>
      </c>
      <c r="BR55" s="54">
        <f>(BR38-BR46)*IF(BR1&gt;Assumptions!$AB$68*12,0,1)</f>
        <v>55131.9828</v>
      </c>
      <c r="BS55" s="54">
        <f>(BS38-BS46)*IF(BS1&gt;Assumptions!$AB$68*12,0,1)</f>
        <v>55131.9828</v>
      </c>
      <c r="BT55" s="54">
        <f>(BT38-BT46)*IF(BT1&gt;Assumptions!$AB$68*12,0,1)</f>
        <v>55131.9828</v>
      </c>
      <c r="BU55" s="54">
        <f>(BU38-BU46)*IF(BU1&gt;Assumptions!$AB$68*12,0,1)</f>
        <v>55131.9828</v>
      </c>
      <c r="BV55" s="54">
        <f>(BV38-BV46)*IF(BV1&gt;Assumptions!$AB$68*12,0,1)</f>
        <v>55131.9828</v>
      </c>
      <c r="BW55" s="54">
        <f>(BW38-BW46)*IF(BW1&gt;Assumptions!$AB$68*12,0,1)</f>
        <v>55131.9828</v>
      </c>
      <c r="BX55" s="54">
        <f>(BX38-BX46)*IF(BX1&gt;Assumptions!$AB$68*12,0,1)</f>
        <v>59053.55995</v>
      </c>
      <c r="BY55" s="54">
        <f>(BY38-BY46)*IF(BY1&gt;Assumptions!$AB$68*12,0,1)</f>
        <v>59053.55995</v>
      </c>
      <c r="BZ55" s="54">
        <f>(BZ38-BZ46)*IF(BZ1&gt;Assumptions!$AB$68*12,0,1)</f>
        <v>59053.55995</v>
      </c>
      <c r="CA55" s="54">
        <f>(CA38-CA46)*IF(CA1&gt;Assumptions!$AB$68*12,0,1)</f>
        <v>59053.55995</v>
      </c>
      <c r="CB55" s="54">
        <f>(CB38-CB46)*IF(CB1&gt;Assumptions!$AB$68*12,0,1)</f>
        <v>59053.55995</v>
      </c>
      <c r="CC55" s="54">
        <f>(CC38-CC46)*IF(CC1&gt;Assumptions!$AB$68*12,0,1)</f>
        <v>59053.55995</v>
      </c>
      <c r="CD55" s="54">
        <f>(CD38-CD46)*IF(CD1&gt;Assumptions!$AB$68*12,0,1)</f>
        <v>59053.55995</v>
      </c>
      <c r="CE55" s="54">
        <f>(CE38-CE46)*IF(CE1&gt;Assumptions!$AB$68*12,0,1)</f>
        <v>59053.55995</v>
      </c>
      <c r="CF55" s="54">
        <f>(CF38-CF46)*IF(CF1&gt;Assumptions!$AB$68*12,0,1)</f>
        <v>59053.55995</v>
      </c>
      <c r="CG55" s="54">
        <f>(CG38-CG46)*IF(CG1&gt;Assumptions!$AB$68*12,0,1)</f>
        <v>59053.55995</v>
      </c>
      <c r="CH55" s="54">
        <f>(CH38-CH46)*IF(CH1&gt;Assumptions!$AB$68*12,0,1)</f>
        <v>59053.55995</v>
      </c>
      <c r="CI55" s="54">
        <f>(CI38-CI46)*IF(CI1&gt;Assumptions!$AB$68*12,0,1)</f>
        <v>59053.55995</v>
      </c>
      <c r="CJ55" s="54">
        <f>(CJ38-CJ46)*IF(CJ1&gt;Assumptions!$AB$68*12,0,1)</f>
        <v>63092.7844</v>
      </c>
      <c r="CK55" s="54">
        <f>(CK38-CK46)*IF(CK1&gt;Assumptions!$AB$68*12,0,1)</f>
        <v>63092.7844</v>
      </c>
      <c r="CL55" s="54">
        <f>(CL38-CL46)*IF(CL1&gt;Assumptions!$AB$68*12,0,1)</f>
        <v>63092.7844</v>
      </c>
      <c r="CM55" s="54">
        <f>(CM38-CM46)*IF(CM1&gt;Assumptions!$AB$68*12,0,1)</f>
        <v>63092.7844</v>
      </c>
      <c r="CN55" s="54">
        <f>(CN38-CN46)*IF(CN1&gt;Assumptions!$AB$68*12,0,1)</f>
        <v>63092.7844</v>
      </c>
      <c r="CO55" s="54">
        <f>(CO38-CO46)*IF(CO1&gt;Assumptions!$AB$68*12,0,1)</f>
        <v>63092.7844</v>
      </c>
      <c r="CP55" s="54">
        <f>(CP38-CP46)*IF(CP1&gt;Assumptions!$AB$68*12,0,1)</f>
        <v>63092.7844</v>
      </c>
      <c r="CQ55" s="54">
        <f>(CQ38-CQ46)*IF(CQ1&gt;Assumptions!$AB$68*12,0,1)</f>
        <v>63092.7844</v>
      </c>
      <c r="CR55" s="54">
        <f>(CR38-CR46)*IF(CR1&gt;Assumptions!$AB$68*12,0,1)</f>
        <v>63092.7844</v>
      </c>
      <c r="CS55" s="54">
        <f>(CS38-CS46)*IF(CS1&gt;Assumptions!$AB$68*12,0,1)</f>
        <v>63092.7844</v>
      </c>
      <c r="CT55" s="54">
        <f>(CT38-CT46)*IF(CT1&gt;Assumptions!$AB$68*12,0,1)</f>
        <v>63092.7844</v>
      </c>
      <c r="CU55" s="54">
        <f>(CU38-CU46)*IF(CU1&gt;Assumptions!$AB$68*12,0,1)</f>
        <v>63092.7844</v>
      </c>
      <c r="CV55" s="54">
        <f>(CV38-CV46)*IF(CV1&gt;Assumptions!$AB$68*12,0,1)</f>
        <v>67253.18559</v>
      </c>
      <c r="CW55" s="54">
        <f>(CW38-CW46)*IF(CW1&gt;Assumptions!$AB$68*12,0,1)</f>
        <v>67253.18559</v>
      </c>
      <c r="CX55" s="54">
        <f>(CX38-CX46)*IF(CX1&gt;Assumptions!$AB$68*12,0,1)</f>
        <v>67253.18559</v>
      </c>
      <c r="CY55" s="54">
        <f>(CY38-CY46)*IF(CY1&gt;Assumptions!$AB$68*12,0,1)</f>
        <v>67253.18559</v>
      </c>
      <c r="CZ55" s="54">
        <f>(CZ38-CZ46)*IF(CZ1&gt;Assumptions!$AB$68*12,0,1)</f>
        <v>67253.18559</v>
      </c>
      <c r="DA55" s="54">
        <f>(DA38-DA46)*IF(DA1&gt;Assumptions!$AB$68*12,0,1)</f>
        <v>67253.18559</v>
      </c>
      <c r="DB55" s="54">
        <f>(DB38-DB46)*IF(DB1&gt;Assumptions!$AB$68*12,0,1)</f>
        <v>67253.18559</v>
      </c>
      <c r="DC55" s="54">
        <f>(DC38-DC46)*IF(DC1&gt;Assumptions!$AB$68*12,0,1)</f>
        <v>67253.18559</v>
      </c>
      <c r="DD55" s="54">
        <f>(DD38-DD46)*IF(DD1&gt;Assumptions!$AB$68*12,0,1)</f>
        <v>67253.18559</v>
      </c>
      <c r="DE55" s="54">
        <f>(DE38-DE46)*IF(DE1&gt;Assumptions!$AB$68*12,0,1)</f>
        <v>67253.18559</v>
      </c>
      <c r="DF55" s="54">
        <f>(DF38-DF46)*IF(DF1&gt;Assumptions!$AB$68*12,0,1)</f>
        <v>67253.18559</v>
      </c>
      <c r="DG55" s="54">
        <f>(DG38-DG46)*IF(DG1&gt;Assumptions!$AB$68*12,0,1)</f>
        <v>67253.18559</v>
      </c>
      <c r="DH55" s="54">
        <f>(DH38-DH46)*IF(DH1&gt;Assumptions!$AB$68*12,0,1)</f>
        <v>64465.77241</v>
      </c>
      <c r="DI55" s="54">
        <f>(DI38-DI46)*IF(DI1&gt;Assumptions!$AB$68*12,0,1)</f>
        <v>64465.77241</v>
      </c>
      <c r="DJ55" s="54">
        <f>(DJ38-DJ46)*IF(DJ1&gt;Assumptions!$AB$68*12,0,1)</f>
        <v>64465.77241</v>
      </c>
      <c r="DK55" s="54">
        <f>(DK38-DK46)*IF(DK1&gt;Assumptions!$AB$68*12,0,1)</f>
        <v>64465.77241</v>
      </c>
      <c r="DL55" s="54">
        <f>(DL38-DL46)*IF(DL1&gt;Assumptions!$AB$68*12,0,1)</f>
        <v>64465.77241</v>
      </c>
      <c r="DM55" s="54">
        <f>(DM38-DM46)*IF(DM1&gt;Assumptions!$AB$68*12,0,1)</f>
        <v>64465.77241</v>
      </c>
      <c r="DN55" s="54">
        <f>(DN38-DN46)*IF(DN1&gt;Assumptions!$AB$68*12,0,1)</f>
        <v>64465.77241</v>
      </c>
      <c r="DO55" s="54">
        <f>(DO38-DO46)*IF(DO1&gt;Assumptions!$AB$68*12,0,1)</f>
        <v>64465.77241</v>
      </c>
      <c r="DP55" s="54">
        <f>(DP38-DP46)*IF(DP1&gt;Assumptions!$AB$68*12,0,1)</f>
        <v>64465.77241</v>
      </c>
      <c r="DQ55" s="54">
        <f>(DQ38-DQ46)*IF(DQ1&gt;Assumptions!$AB$68*12,0,1)</f>
        <v>64465.77241</v>
      </c>
      <c r="DR55" s="54">
        <f>(DR38-DR46)*IF(DR1&gt;Assumptions!$AB$68*12,0,1)</f>
        <v>64465.77241</v>
      </c>
      <c r="DS55" s="54">
        <f>(DS38-DS46)*IF(DS1&gt;Assumptions!$AB$68*12,0,1)</f>
        <v>64465.77241</v>
      </c>
      <c r="DT55" s="54">
        <f>(DT38-DT46)*IF(DT1&gt;Assumptions!$AB$68*12,0,1)</f>
        <v>0</v>
      </c>
      <c r="DU55" s="54">
        <f>(DU38-DU46)*IF(DU1&gt;Assumptions!$AB$68*12,0,1)</f>
        <v>0</v>
      </c>
      <c r="DV55" s="54">
        <f>(DV38-DV46)*IF(DV1&gt;Assumptions!$AB$68*12,0,1)</f>
        <v>0</v>
      </c>
      <c r="DW55" s="54">
        <f>(DW38-DW46)*IF(DW1&gt;Assumptions!$AB$68*12,0,1)</f>
        <v>0</v>
      </c>
      <c r="DX55" s="54">
        <f>(DX38-DX46)*IF(DX1&gt;Assumptions!$AB$68*12,0,1)</f>
        <v>0</v>
      </c>
      <c r="DY55" s="54">
        <f>(DY38-DY46)*IF(DY1&gt;Assumptions!$AB$68*12,0,1)</f>
        <v>0</v>
      </c>
      <c r="DZ55" s="54">
        <f>(DZ38-DZ46)*IF(DZ1&gt;Assumptions!$AB$68*12,0,1)</f>
        <v>0</v>
      </c>
      <c r="EA55" s="54">
        <f>(EA38-EA46)*IF(EA1&gt;Assumptions!$AB$68*12,0,1)</f>
        <v>0</v>
      </c>
      <c r="EB55" s="54">
        <f>(EB38-EB46)*IF(EB1&gt;Assumptions!$AB$68*12,0,1)</f>
        <v>0</v>
      </c>
      <c r="EC55" s="54">
        <f>(EC38-EC46)*IF(EC1&gt;Assumptions!$AB$68*12,0,1)</f>
        <v>0</v>
      </c>
      <c r="ED55" s="54">
        <f>(ED38-ED46)*IF(ED1&gt;Assumptions!$AB$68*12,0,1)</f>
        <v>0</v>
      </c>
      <c r="EE55" s="54">
        <f>(EE38-EE46)*IF(EE1&gt;Assumptions!$AB$68*12,0,1)</f>
        <v>0</v>
      </c>
    </row>
    <row r="56" ht="15.75" customHeight="1">
      <c r="A56" s="1"/>
      <c r="B56" s="1"/>
      <c r="C56" s="1" t="s">
        <v>153</v>
      </c>
      <c r="D56" s="54">
        <f t="shared" ref="D56:EE56" si="12">D53</f>
        <v>0</v>
      </c>
      <c r="E56" s="54">
        <f t="shared" si="12"/>
        <v>0</v>
      </c>
      <c r="F56" s="54">
        <f t="shared" si="12"/>
        <v>0</v>
      </c>
      <c r="G56" s="54">
        <f t="shared" si="12"/>
        <v>0</v>
      </c>
      <c r="H56" s="54">
        <f t="shared" si="12"/>
        <v>0</v>
      </c>
      <c r="I56" s="54">
        <f t="shared" si="12"/>
        <v>0</v>
      </c>
      <c r="J56" s="54">
        <f t="shared" si="12"/>
        <v>0</v>
      </c>
      <c r="K56" s="54">
        <f t="shared" si="12"/>
        <v>0</v>
      </c>
      <c r="L56" s="54">
        <f t="shared" si="12"/>
        <v>0</v>
      </c>
      <c r="M56" s="54">
        <f t="shared" si="12"/>
        <v>0</v>
      </c>
      <c r="N56" s="54">
        <f t="shared" si="12"/>
        <v>0</v>
      </c>
      <c r="O56" s="54">
        <f t="shared" si="12"/>
        <v>0</v>
      </c>
      <c r="P56" s="54">
        <f t="shared" si="12"/>
        <v>0</v>
      </c>
      <c r="Q56" s="54">
        <f t="shared" si="12"/>
        <v>0</v>
      </c>
      <c r="R56" s="54">
        <f t="shared" si="12"/>
        <v>0</v>
      </c>
      <c r="S56" s="54">
        <f t="shared" si="12"/>
        <v>0</v>
      </c>
      <c r="T56" s="54">
        <f t="shared" si="12"/>
        <v>0</v>
      </c>
      <c r="U56" s="54">
        <f t="shared" si="12"/>
        <v>0</v>
      </c>
      <c r="V56" s="54">
        <f t="shared" si="12"/>
        <v>0</v>
      </c>
      <c r="W56" s="54">
        <f t="shared" si="12"/>
        <v>0</v>
      </c>
      <c r="X56" s="54">
        <f t="shared" si="12"/>
        <v>0</v>
      </c>
      <c r="Y56" s="54">
        <f t="shared" si="12"/>
        <v>0</v>
      </c>
      <c r="Z56" s="54">
        <f t="shared" si="12"/>
        <v>0</v>
      </c>
      <c r="AA56" s="54">
        <f t="shared" si="12"/>
        <v>0</v>
      </c>
      <c r="AB56" s="54">
        <f t="shared" si="12"/>
        <v>0</v>
      </c>
      <c r="AC56" s="54">
        <f t="shared" si="12"/>
        <v>0</v>
      </c>
      <c r="AD56" s="54">
        <f t="shared" si="12"/>
        <v>0</v>
      </c>
      <c r="AE56" s="54">
        <f t="shared" si="12"/>
        <v>0</v>
      </c>
      <c r="AF56" s="54">
        <f t="shared" si="12"/>
        <v>0</v>
      </c>
      <c r="AG56" s="54">
        <f t="shared" si="12"/>
        <v>0</v>
      </c>
      <c r="AH56" s="54">
        <f t="shared" si="12"/>
        <v>0</v>
      </c>
      <c r="AI56" s="54">
        <f t="shared" si="12"/>
        <v>0</v>
      </c>
      <c r="AJ56" s="54">
        <f t="shared" si="12"/>
        <v>0</v>
      </c>
      <c r="AK56" s="54">
        <f t="shared" si="12"/>
        <v>0</v>
      </c>
      <c r="AL56" s="54">
        <f t="shared" si="12"/>
        <v>0</v>
      </c>
      <c r="AM56" s="54">
        <f t="shared" si="12"/>
        <v>0</v>
      </c>
      <c r="AN56" s="54">
        <f t="shared" si="12"/>
        <v>0</v>
      </c>
      <c r="AO56" s="54">
        <f t="shared" si="12"/>
        <v>0</v>
      </c>
      <c r="AP56" s="54">
        <f t="shared" si="12"/>
        <v>0</v>
      </c>
      <c r="AQ56" s="54">
        <f t="shared" si="12"/>
        <v>0</v>
      </c>
      <c r="AR56" s="54">
        <f t="shared" si="12"/>
        <v>0</v>
      </c>
      <c r="AS56" s="54">
        <f t="shared" si="12"/>
        <v>0</v>
      </c>
      <c r="AT56" s="54">
        <f t="shared" si="12"/>
        <v>0</v>
      </c>
      <c r="AU56" s="54">
        <f t="shared" si="12"/>
        <v>0</v>
      </c>
      <c r="AV56" s="54">
        <f t="shared" si="12"/>
        <v>0</v>
      </c>
      <c r="AW56" s="54">
        <f t="shared" si="12"/>
        <v>0</v>
      </c>
      <c r="AX56" s="54">
        <f t="shared" si="12"/>
        <v>0</v>
      </c>
      <c r="AY56" s="54">
        <f t="shared" si="12"/>
        <v>0</v>
      </c>
      <c r="AZ56" s="54">
        <f t="shared" si="12"/>
        <v>0</v>
      </c>
      <c r="BA56" s="54">
        <f t="shared" si="12"/>
        <v>0</v>
      </c>
      <c r="BB56" s="54">
        <f t="shared" si="12"/>
        <v>0</v>
      </c>
      <c r="BC56" s="54">
        <f t="shared" si="12"/>
        <v>0</v>
      </c>
      <c r="BD56" s="54">
        <f t="shared" si="12"/>
        <v>0</v>
      </c>
      <c r="BE56" s="54">
        <f t="shared" si="12"/>
        <v>0</v>
      </c>
      <c r="BF56" s="54">
        <f t="shared" si="12"/>
        <v>0</v>
      </c>
      <c r="BG56" s="54">
        <f t="shared" si="12"/>
        <v>0</v>
      </c>
      <c r="BH56" s="54">
        <f t="shared" si="12"/>
        <v>0</v>
      </c>
      <c r="BI56" s="54">
        <f t="shared" si="12"/>
        <v>0</v>
      </c>
      <c r="BJ56" s="54">
        <f t="shared" si="12"/>
        <v>0</v>
      </c>
      <c r="BK56" s="54">
        <f t="shared" si="12"/>
        <v>0</v>
      </c>
      <c r="BL56" s="54">
        <f t="shared" si="12"/>
        <v>0</v>
      </c>
      <c r="BM56" s="54">
        <f t="shared" si="12"/>
        <v>0</v>
      </c>
      <c r="BN56" s="54">
        <f t="shared" si="12"/>
        <v>0</v>
      </c>
      <c r="BO56" s="54">
        <f t="shared" si="12"/>
        <v>0</v>
      </c>
      <c r="BP56" s="54">
        <f t="shared" si="12"/>
        <v>0</v>
      </c>
      <c r="BQ56" s="54">
        <f t="shared" si="12"/>
        <v>0</v>
      </c>
      <c r="BR56" s="54">
        <f t="shared" si="12"/>
        <v>0</v>
      </c>
      <c r="BS56" s="54">
        <f t="shared" si="12"/>
        <v>0</v>
      </c>
      <c r="BT56" s="54">
        <f t="shared" si="12"/>
        <v>0</v>
      </c>
      <c r="BU56" s="54">
        <f t="shared" si="12"/>
        <v>0</v>
      </c>
      <c r="BV56" s="54">
        <f t="shared" si="12"/>
        <v>0</v>
      </c>
      <c r="BW56" s="54">
        <f t="shared" si="12"/>
        <v>0</v>
      </c>
      <c r="BX56" s="54">
        <f t="shared" si="12"/>
        <v>0</v>
      </c>
      <c r="BY56" s="54">
        <f t="shared" si="12"/>
        <v>0</v>
      </c>
      <c r="BZ56" s="54">
        <f t="shared" si="12"/>
        <v>0</v>
      </c>
      <c r="CA56" s="54">
        <f t="shared" si="12"/>
        <v>0</v>
      </c>
      <c r="CB56" s="54">
        <f t="shared" si="12"/>
        <v>0</v>
      </c>
      <c r="CC56" s="54">
        <f t="shared" si="12"/>
        <v>0</v>
      </c>
      <c r="CD56" s="54">
        <f t="shared" si="12"/>
        <v>0</v>
      </c>
      <c r="CE56" s="54">
        <f t="shared" si="12"/>
        <v>0</v>
      </c>
      <c r="CF56" s="54">
        <f t="shared" si="12"/>
        <v>0</v>
      </c>
      <c r="CG56" s="54">
        <f t="shared" si="12"/>
        <v>0</v>
      </c>
      <c r="CH56" s="54">
        <f t="shared" si="12"/>
        <v>0</v>
      </c>
      <c r="CI56" s="54">
        <f t="shared" si="12"/>
        <v>0</v>
      </c>
      <c r="CJ56" s="54">
        <f t="shared" si="12"/>
        <v>0</v>
      </c>
      <c r="CK56" s="54">
        <f t="shared" si="12"/>
        <v>0</v>
      </c>
      <c r="CL56" s="54">
        <f t="shared" si="12"/>
        <v>0</v>
      </c>
      <c r="CM56" s="54">
        <f t="shared" si="12"/>
        <v>0</v>
      </c>
      <c r="CN56" s="54">
        <f t="shared" si="12"/>
        <v>0</v>
      </c>
      <c r="CO56" s="54">
        <f t="shared" si="12"/>
        <v>0</v>
      </c>
      <c r="CP56" s="54">
        <f t="shared" si="12"/>
        <v>0</v>
      </c>
      <c r="CQ56" s="54">
        <f t="shared" si="12"/>
        <v>0</v>
      </c>
      <c r="CR56" s="54">
        <f t="shared" si="12"/>
        <v>0</v>
      </c>
      <c r="CS56" s="54">
        <f t="shared" si="12"/>
        <v>0</v>
      </c>
      <c r="CT56" s="54">
        <f t="shared" si="12"/>
        <v>0</v>
      </c>
      <c r="CU56" s="54">
        <f t="shared" si="12"/>
        <v>0</v>
      </c>
      <c r="CV56" s="54">
        <f t="shared" si="12"/>
        <v>0</v>
      </c>
      <c r="CW56" s="54">
        <f t="shared" si="12"/>
        <v>0</v>
      </c>
      <c r="CX56" s="54">
        <f t="shared" si="12"/>
        <v>0</v>
      </c>
      <c r="CY56" s="54">
        <f t="shared" si="12"/>
        <v>0</v>
      </c>
      <c r="CZ56" s="54">
        <f t="shared" si="12"/>
        <v>0</v>
      </c>
      <c r="DA56" s="54">
        <f t="shared" si="12"/>
        <v>0</v>
      </c>
      <c r="DB56" s="54">
        <f t="shared" si="12"/>
        <v>0</v>
      </c>
      <c r="DC56" s="54">
        <f t="shared" si="12"/>
        <v>0</v>
      </c>
      <c r="DD56" s="54">
        <f t="shared" si="12"/>
        <v>0</v>
      </c>
      <c r="DE56" s="54">
        <f t="shared" si="12"/>
        <v>0</v>
      </c>
      <c r="DF56" s="54">
        <f t="shared" si="12"/>
        <v>0</v>
      </c>
      <c r="DG56" s="54">
        <f t="shared" si="12"/>
        <v>0</v>
      </c>
      <c r="DH56" s="54">
        <f t="shared" si="12"/>
        <v>0</v>
      </c>
      <c r="DI56" s="54">
        <f t="shared" si="12"/>
        <v>0</v>
      </c>
      <c r="DJ56" s="54">
        <f t="shared" si="12"/>
        <v>0</v>
      </c>
      <c r="DK56" s="54">
        <f t="shared" si="12"/>
        <v>0</v>
      </c>
      <c r="DL56" s="54">
        <f t="shared" si="12"/>
        <v>0</v>
      </c>
      <c r="DM56" s="54">
        <f t="shared" si="12"/>
        <v>0</v>
      </c>
      <c r="DN56" s="54">
        <f t="shared" si="12"/>
        <v>0</v>
      </c>
      <c r="DO56" s="54">
        <f t="shared" si="12"/>
        <v>0</v>
      </c>
      <c r="DP56" s="54">
        <f t="shared" si="12"/>
        <v>0</v>
      </c>
      <c r="DQ56" s="54">
        <f t="shared" si="12"/>
        <v>0</v>
      </c>
      <c r="DR56" s="54">
        <f t="shared" si="12"/>
        <v>0</v>
      </c>
      <c r="DS56" s="54">
        <f t="shared" si="12"/>
        <v>18070270.61</v>
      </c>
      <c r="DT56" s="54">
        <f t="shared" si="12"/>
        <v>0</v>
      </c>
      <c r="DU56" s="54">
        <f t="shared" si="12"/>
        <v>0</v>
      </c>
      <c r="DV56" s="54">
        <f t="shared" si="12"/>
        <v>0</v>
      </c>
      <c r="DW56" s="54">
        <f t="shared" si="12"/>
        <v>0</v>
      </c>
      <c r="DX56" s="54">
        <f t="shared" si="12"/>
        <v>0</v>
      </c>
      <c r="DY56" s="54">
        <f t="shared" si="12"/>
        <v>0</v>
      </c>
      <c r="DZ56" s="54">
        <f t="shared" si="12"/>
        <v>0</v>
      </c>
      <c r="EA56" s="54">
        <f t="shared" si="12"/>
        <v>0</v>
      </c>
      <c r="EB56" s="54">
        <f t="shared" si="12"/>
        <v>0</v>
      </c>
      <c r="EC56" s="54">
        <f t="shared" si="12"/>
        <v>0</v>
      </c>
      <c r="ED56" s="54">
        <f t="shared" si="12"/>
        <v>0</v>
      </c>
      <c r="EE56" s="54">
        <f t="shared" si="12"/>
        <v>0</v>
      </c>
    </row>
    <row r="57" ht="15.75" customHeight="1">
      <c r="A57" s="1"/>
      <c r="B57" s="92"/>
      <c r="C57" s="47" t="s">
        <v>154</v>
      </c>
      <c r="D57" s="209">
        <f t="shared" ref="D57:EE57" si="13">SUM(D55:D56)</f>
        <v>99381.45282</v>
      </c>
      <c r="E57" s="209">
        <f t="shared" si="13"/>
        <v>99381.45282</v>
      </c>
      <c r="F57" s="209">
        <f t="shared" si="13"/>
        <v>99381.45282</v>
      </c>
      <c r="G57" s="209">
        <f t="shared" si="13"/>
        <v>99381.45282</v>
      </c>
      <c r="H57" s="209">
        <f t="shared" si="13"/>
        <v>99381.45282</v>
      </c>
      <c r="I57" s="209">
        <f t="shared" si="13"/>
        <v>99381.45282</v>
      </c>
      <c r="J57" s="209">
        <f t="shared" si="13"/>
        <v>99381.45282</v>
      </c>
      <c r="K57" s="209">
        <f t="shared" si="13"/>
        <v>99381.45282</v>
      </c>
      <c r="L57" s="209">
        <f t="shared" si="13"/>
        <v>99381.45282</v>
      </c>
      <c r="M57" s="209">
        <f t="shared" si="13"/>
        <v>99381.45282</v>
      </c>
      <c r="N57" s="209">
        <f t="shared" si="13"/>
        <v>99381.45282</v>
      </c>
      <c r="O57" s="209">
        <f t="shared" si="13"/>
        <v>99381.45282</v>
      </c>
      <c r="P57" s="209">
        <f t="shared" si="13"/>
        <v>116142.3499</v>
      </c>
      <c r="Q57" s="209">
        <f t="shared" si="13"/>
        <v>116142.3499</v>
      </c>
      <c r="R57" s="209">
        <f t="shared" si="13"/>
        <v>116142.3499</v>
      </c>
      <c r="S57" s="209">
        <f t="shared" si="13"/>
        <v>116142.3499</v>
      </c>
      <c r="T57" s="209">
        <f t="shared" si="13"/>
        <v>116142.3499</v>
      </c>
      <c r="U57" s="209">
        <f t="shared" si="13"/>
        <v>116142.3499</v>
      </c>
      <c r="V57" s="209">
        <f t="shared" si="13"/>
        <v>116142.3499</v>
      </c>
      <c r="W57" s="209">
        <f t="shared" si="13"/>
        <v>116142.3499</v>
      </c>
      <c r="X57" s="209">
        <f t="shared" si="13"/>
        <v>116142.3499</v>
      </c>
      <c r="Y57" s="209">
        <f t="shared" si="13"/>
        <v>116142.3499</v>
      </c>
      <c r="Z57" s="209">
        <f t="shared" si="13"/>
        <v>116142.3499</v>
      </c>
      <c r="AA57" s="209">
        <f t="shared" si="13"/>
        <v>116142.3499</v>
      </c>
      <c r="AB57" s="209">
        <f t="shared" si="13"/>
        <v>119626.6204</v>
      </c>
      <c r="AC57" s="209">
        <f t="shared" si="13"/>
        <v>119626.6204</v>
      </c>
      <c r="AD57" s="209">
        <f t="shared" si="13"/>
        <v>119626.6204</v>
      </c>
      <c r="AE57" s="209">
        <f t="shared" si="13"/>
        <v>119626.6204</v>
      </c>
      <c r="AF57" s="209">
        <f t="shared" si="13"/>
        <v>119626.6204</v>
      </c>
      <c r="AG57" s="209">
        <f t="shared" si="13"/>
        <v>119626.6204</v>
      </c>
      <c r="AH57" s="209">
        <f t="shared" si="13"/>
        <v>119626.6204</v>
      </c>
      <c r="AI57" s="209">
        <f t="shared" si="13"/>
        <v>119626.6204</v>
      </c>
      <c r="AJ57" s="209">
        <f t="shared" si="13"/>
        <v>119626.6204</v>
      </c>
      <c r="AK57" s="209">
        <f t="shared" si="13"/>
        <v>119626.6204</v>
      </c>
      <c r="AL57" s="209">
        <f t="shared" si="13"/>
        <v>119626.6204</v>
      </c>
      <c r="AM57" s="209">
        <f t="shared" si="13"/>
        <v>119626.6204</v>
      </c>
      <c r="AN57" s="209">
        <f t="shared" si="13"/>
        <v>47628.16379</v>
      </c>
      <c r="AO57" s="209">
        <f t="shared" si="13"/>
        <v>47628.16379</v>
      </c>
      <c r="AP57" s="209">
        <f t="shared" si="13"/>
        <v>47628.16379</v>
      </c>
      <c r="AQ57" s="209">
        <f t="shared" si="13"/>
        <v>47628.16379</v>
      </c>
      <c r="AR57" s="209">
        <f t="shared" si="13"/>
        <v>47628.16379</v>
      </c>
      <c r="AS57" s="209">
        <f t="shared" si="13"/>
        <v>47628.16379</v>
      </c>
      <c r="AT57" s="209">
        <f t="shared" si="13"/>
        <v>47628.16379</v>
      </c>
      <c r="AU57" s="209">
        <f t="shared" si="13"/>
        <v>47628.16379</v>
      </c>
      <c r="AV57" s="209">
        <f t="shared" si="13"/>
        <v>47628.16379</v>
      </c>
      <c r="AW57" s="209">
        <f t="shared" si="13"/>
        <v>47628.16379</v>
      </c>
      <c r="AX57" s="209">
        <f t="shared" si="13"/>
        <v>47628.16379</v>
      </c>
      <c r="AY57" s="209">
        <f t="shared" si="13"/>
        <v>47628.16379</v>
      </c>
      <c r="AZ57" s="209">
        <f t="shared" si="13"/>
        <v>51324.62636</v>
      </c>
      <c r="BA57" s="209">
        <f t="shared" si="13"/>
        <v>51324.62636</v>
      </c>
      <c r="BB57" s="209">
        <f t="shared" si="13"/>
        <v>51324.62636</v>
      </c>
      <c r="BC57" s="209">
        <f t="shared" si="13"/>
        <v>51324.62636</v>
      </c>
      <c r="BD57" s="209">
        <f t="shared" si="13"/>
        <v>51324.62636</v>
      </c>
      <c r="BE57" s="209">
        <f t="shared" si="13"/>
        <v>51324.62636</v>
      </c>
      <c r="BF57" s="209">
        <f t="shared" si="13"/>
        <v>51324.62636</v>
      </c>
      <c r="BG57" s="209">
        <f t="shared" si="13"/>
        <v>51324.62636</v>
      </c>
      <c r="BH57" s="209">
        <f t="shared" si="13"/>
        <v>51324.62636</v>
      </c>
      <c r="BI57" s="209">
        <f t="shared" si="13"/>
        <v>51324.62636</v>
      </c>
      <c r="BJ57" s="209">
        <f t="shared" si="13"/>
        <v>51324.62636</v>
      </c>
      <c r="BK57" s="209">
        <f t="shared" si="13"/>
        <v>51324.62636</v>
      </c>
      <c r="BL57" s="209">
        <f t="shared" si="13"/>
        <v>55131.9828</v>
      </c>
      <c r="BM57" s="209">
        <f t="shared" si="13"/>
        <v>55131.9828</v>
      </c>
      <c r="BN57" s="209">
        <f t="shared" si="13"/>
        <v>55131.9828</v>
      </c>
      <c r="BO57" s="209">
        <f t="shared" si="13"/>
        <v>55131.9828</v>
      </c>
      <c r="BP57" s="209">
        <f t="shared" si="13"/>
        <v>55131.9828</v>
      </c>
      <c r="BQ57" s="209">
        <f t="shared" si="13"/>
        <v>55131.9828</v>
      </c>
      <c r="BR57" s="209">
        <f t="shared" si="13"/>
        <v>55131.9828</v>
      </c>
      <c r="BS57" s="209">
        <f t="shared" si="13"/>
        <v>55131.9828</v>
      </c>
      <c r="BT57" s="209">
        <f t="shared" si="13"/>
        <v>55131.9828</v>
      </c>
      <c r="BU57" s="209">
        <f t="shared" si="13"/>
        <v>55131.9828</v>
      </c>
      <c r="BV57" s="209">
        <f t="shared" si="13"/>
        <v>55131.9828</v>
      </c>
      <c r="BW57" s="209">
        <f t="shared" si="13"/>
        <v>55131.9828</v>
      </c>
      <c r="BX57" s="209">
        <f t="shared" si="13"/>
        <v>59053.55995</v>
      </c>
      <c r="BY57" s="209">
        <f t="shared" si="13"/>
        <v>59053.55995</v>
      </c>
      <c r="BZ57" s="209">
        <f t="shared" si="13"/>
        <v>59053.55995</v>
      </c>
      <c r="CA57" s="209">
        <f t="shared" si="13"/>
        <v>59053.55995</v>
      </c>
      <c r="CB57" s="209">
        <f t="shared" si="13"/>
        <v>59053.55995</v>
      </c>
      <c r="CC57" s="209">
        <f t="shared" si="13"/>
        <v>59053.55995</v>
      </c>
      <c r="CD57" s="209">
        <f t="shared" si="13"/>
        <v>59053.55995</v>
      </c>
      <c r="CE57" s="209">
        <f t="shared" si="13"/>
        <v>59053.55995</v>
      </c>
      <c r="CF57" s="209">
        <f t="shared" si="13"/>
        <v>59053.55995</v>
      </c>
      <c r="CG57" s="209">
        <f t="shared" si="13"/>
        <v>59053.55995</v>
      </c>
      <c r="CH57" s="209">
        <f t="shared" si="13"/>
        <v>59053.55995</v>
      </c>
      <c r="CI57" s="209">
        <f t="shared" si="13"/>
        <v>59053.55995</v>
      </c>
      <c r="CJ57" s="209">
        <f t="shared" si="13"/>
        <v>63092.7844</v>
      </c>
      <c r="CK57" s="209">
        <f t="shared" si="13"/>
        <v>63092.7844</v>
      </c>
      <c r="CL57" s="209">
        <f t="shared" si="13"/>
        <v>63092.7844</v>
      </c>
      <c r="CM57" s="209">
        <f t="shared" si="13"/>
        <v>63092.7844</v>
      </c>
      <c r="CN57" s="209">
        <f t="shared" si="13"/>
        <v>63092.7844</v>
      </c>
      <c r="CO57" s="209">
        <f t="shared" si="13"/>
        <v>63092.7844</v>
      </c>
      <c r="CP57" s="209">
        <f t="shared" si="13"/>
        <v>63092.7844</v>
      </c>
      <c r="CQ57" s="209">
        <f t="shared" si="13"/>
        <v>63092.7844</v>
      </c>
      <c r="CR57" s="209">
        <f t="shared" si="13"/>
        <v>63092.7844</v>
      </c>
      <c r="CS57" s="209">
        <f t="shared" si="13"/>
        <v>63092.7844</v>
      </c>
      <c r="CT57" s="209">
        <f t="shared" si="13"/>
        <v>63092.7844</v>
      </c>
      <c r="CU57" s="209">
        <f t="shared" si="13"/>
        <v>63092.7844</v>
      </c>
      <c r="CV57" s="209">
        <f t="shared" si="13"/>
        <v>67253.18559</v>
      </c>
      <c r="CW57" s="209">
        <f t="shared" si="13"/>
        <v>67253.18559</v>
      </c>
      <c r="CX57" s="209">
        <f t="shared" si="13"/>
        <v>67253.18559</v>
      </c>
      <c r="CY57" s="209">
        <f t="shared" si="13"/>
        <v>67253.18559</v>
      </c>
      <c r="CZ57" s="209">
        <f t="shared" si="13"/>
        <v>67253.18559</v>
      </c>
      <c r="DA57" s="209">
        <f t="shared" si="13"/>
        <v>67253.18559</v>
      </c>
      <c r="DB57" s="209">
        <f t="shared" si="13"/>
        <v>67253.18559</v>
      </c>
      <c r="DC57" s="209">
        <f t="shared" si="13"/>
        <v>67253.18559</v>
      </c>
      <c r="DD57" s="209">
        <f t="shared" si="13"/>
        <v>67253.18559</v>
      </c>
      <c r="DE57" s="209">
        <f t="shared" si="13"/>
        <v>67253.18559</v>
      </c>
      <c r="DF57" s="209">
        <f t="shared" si="13"/>
        <v>67253.18559</v>
      </c>
      <c r="DG57" s="209">
        <f t="shared" si="13"/>
        <v>67253.18559</v>
      </c>
      <c r="DH57" s="209">
        <f t="shared" si="13"/>
        <v>64465.77241</v>
      </c>
      <c r="DI57" s="209">
        <f t="shared" si="13"/>
        <v>64465.77241</v>
      </c>
      <c r="DJ57" s="209">
        <f t="shared" si="13"/>
        <v>64465.77241</v>
      </c>
      <c r="DK57" s="209">
        <f t="shared" si="13"/>
        <v>64465.77241</v>
      </c>
      <c r="DL57" s="209">
        <f t="shared" si="13"/>
        <v>64465.77241</v>
      </c>
      <c r="DM57" s="209">
        <f t="shared" si="13"/>
        <v>64465.77241</v>
      </c>
      <c r="DN57" s="209">
        <f t="shared" si="13"/>
        <v>64465.77241</v>
      </c>
      <c r="DO57" s="209">
        <f t="shared" si="13"/>
        <v>64465.77241</v>
      </c>
      <c r="DP57" s="209">
        <f t="shared" si="13"/>
        <v>64465.77241</v>
      </c>
      <c r="DQ57" s="209">
        <f t="shared" si="13"/>
        <v>64465.77241</v>
      </c>
      <c r="DR57" s="209">
        <f t="shared" si="13"/>
        <v>64465.77241</v>
      </c>
      <c r="DS57" s="209">
        <f t="shared" si="13"/>
        <v>18134736.38</v>
      </c>
      <c r="DT57" s="209">
        <f t="shared" si="13"/>
        <v>0</v>
      </c>
      <c r="DU57" s="209">
        <f t="shared" si="13"/>
        <v>0</v>
      </c>
      <c r="DV57" s="209">
        <f t="shared" si="13"/>
        <v>0</v>
      </c>
      <c r="DW57" s="209">
        <f t="shared" si="13"/>
        <v>0</v>
      </c>
      <c r="DX57" s="209">
        <f t="shared" si="13"/>
        <v>0</v>
      </c>
      <c r="DY57" s="209">
        <f t="shared" si="13"/>
        <v>0</v>
      </c>
      <c r="DZ57" s="209">
        <f t="shared" si="13"/>
        <v>0</v>
      </c>
      <c r="EA57" s="209">
        <f t="shared" si="13"/>
        <v>0</v>
      </c>
      <c r="EB57" s="209">
        <f t="shared" si="13"/>
        <v>0</v>
      </c>
      <c r="EC57" s="209">
        <f t="shared" si="13"/>
        <v>0</v>
      </c>
      <c r="ED57" s="209">
        <f t="shared" si="13"/>
        <v>0</v>
      </c>
      <c r="EE57" s="209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2024-01-25T22:21:33Z</dcterms:created>
  <dc:creator>kavin sakthi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0x0101005849FBAF63DCEA4199EE89E84E02D05D</vt:lpwstr>
  </property>
</Properties>
</file>